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org\"/>
    </mc:Choice>
  </mc:AlternateContent>
  <bookViews>
    <workbookView xWindow="0" yWindow="0" windowWidth="28800" windowHeight="12435" tabRatio="849" activeTab="12"/>
  </bookViews>
  <sheets>
    <sheet name="Gruppe A" sheetId="14" r:id="rId1"/>
    <sheet name="Gruppe B" sheetId="15" r:id="rId2"/>
    <sheet name="Spiel 1" sheetId="3" state="hidden" r:id="rId3"/>
    <sheet name="Spiel 2" sheetId="4" state="hidden" r:id="rId4"/>
    <sheet name="Spiel 3" sheetId="5" state="hidden" r:id="rId5"/>
    <sheet name="Spiel 4" sheetId="27" state="hidden" r:id="rId6"/>
    <sheet name="Spiel 5" sheetId="28" state="hidden" r:id="rId7"/>
    <sheet name="Spiel 6" sheetId="29" state="hidden" r:id="rId8"/>
    <sheet name="Spiel 7 - Viertelfinal" sheetId="6" r:id="rId9"/>
    <sheet name="Spiel 8 - Halbfinal" sheetId="7" r:id="rId10"/>
    <sheet name="Spiel 9 - Final" sheetId="8" r:id="rId11"/>
    <sheet name="Auswertung" sheetId="10" r:id="rId12"/>
    <sheet name="Teamprofile (8)" sheetId="12" r:id="rId13"/>
    <sheet name="Einzelspielerprofile (5)" sheetId="17" r:id="rId14"/>
    <sheet name="F pro Runde" sheetId="18" state="hidden" r:id="rId15"/>
    <sheet name="F pro Typ" sheetId="19" state="hidden" r:id="rId16"/>
    <sheet name="Teamvergleich" sheetId="32" r:id="rId17"/>
    <sheet name="Einzelvergleich" sheetId="31" r:id="rId18"/>
    <sheet name="Performance (5)" sheetId="33" r:id="rId19"/>
  </sheets>
  <calcPr calcId="152511"/>
</workbook>
</file>

<file path=xl/calcChain.xml><?xml version="1.0" encoding="utf-8"?>
<calcChain xmlns="http://schemas.openxmlformats.org/spreadsheetml/2006/main">
  <c r="BS44" i="17" l="1"/>
  <c r="BR44" i="17"/>
  <c r="BS19" i="17"/>
  <c r="BR19" i="17"/>
  <c r="H40" i="17" l="1"/>
  <c r="K40" i="17"/>
  <c r="Z7" i="12" l="1"/>
  <c r="Y7" i="12"/>
  <c r="C10" i="32" l="1"/>
  <c r="B10" i="32"/>
  <c r="C9" i="32"/>
  <c r="B9" i="32"/>
  <c r="B8" i="32"/>
  <c r="C8" i="32"/>
  <c r="C7" i="32"/>
  <c r="B7" i="32"/>
  <c r="C6" i="32"/>
  <c r="B6" i="32"/>
  <c r="C5" i="32"/>
  <c r="B5" i="32"/>
  <c r="B4" i="32"/>
  <c r="C4" i="32"/>
  <c r="C3" i="32"/>
  <c r="B3" i="32" l="1"/>
  <c r="B20" i="32"/>
  <c r="E20" i="32" s="1"/>
  <c r="C20" i="32"/>
  <c r="B21" i="32"/>
  <c r="M21" i="32" s="1"/>
  <c r="C21" i="32"/>
  <c r="B22" i="32"/>
  <c r="Q22" i="32" s="1"/>
  <c r="C22" i="32"/>
  <c r="C26" i="32"/>
  <c r="B26" i="32"/>
  <c r="Q26" i="32" s="1"/>
  <c r="C25" i="32"/>
  <c r="B25" i="32"/>
  <c r="Q25" i="32" s="1"/>
  <c r="V24" i="32"/>
  <c r="T24" i="32"/>
  <c r="R24" i="32"/>
  <c r="P24" i="32"/>
  <c r="N24" i="32"/>
  <c r="L24" i="32"/>
  <c r="J24" i="32"/>
  <c r="H24" i="32"/>
  <c r="F24" i="32"/>
  <c r="D24" i="32"/>
  <c r="V23" i="32"/>
  <c r="T23" i="32"/>
  <c r="R23" i="32"/>
  <c r="P23" i="32"/>
  <c r="N23" i="32"/>
  <c r="L23" i="32"/>
  <c r="J23" i="32"/>
  <c r="H23" i="32"/>
  <c r="F23" i="32"/>
  <c r="D23" i="32"/>
  <c r="C19" i="32"/>
  <c r="B19" i="32"/>
  <c r="U19" i="32" s="1"/>
  <c r="C18" i="32"/>
  <c r="B18" i="32"/>
  <c r="U18" i="32" s="1"/>
  <c r="C17" i="32"/>
  <c r="B17" i="32"/>
  <c r="O17" i="32" s="1"/>
  <c r="C16" i="32"/>
  <c r="B16" i="32"/>
  <c r="U16" i="32" s="1"/>
  <c r="C15" i="32"/>
  <c r="B15" i="32"/>
  <c r="Q15" i="32" s="1"/>
  <c r="K21" i="32" l="1"/>
  <c r="I21" i="32"/>
  <c r="S22" i="32"/>
  <c r="K20" i="32"/>
  <c r="M22" i="32"/>
  <c r="E21" i="32"/>
  <c r="U21" i="32"/>
  <c r="S20" i="32"/>
  <c r="Q21" i="32"/>
  <c r="Q20" i="32"/>
  <c r="S21" i="32"/>
  <c r="O21" i="32"/>
  <c r="M20" i="32"/>
  <c r="O22" i="32"/>
  <c r="W21" i="32"/>
  <c r="G21" i="32"/>
  <c r="O20" i="32"/>
  <c r="K22" i="32"/>
  <c r="I19" i="32"/>
  <c r="I22" i="32"/>
  <c r="I20" i="32"/>
  <c r="W22" i="32"/>
  <c r="G22" i="32"/>
  <c r="W20" i="32"/>
  <c r="G20" i="32"/>
  <c r="U22" i="32"/>
  <c r="E22" i="32"/>
  <c r="U20" i="32"/>
  <c r="I18" i="32"/>
  <c r="G26" i="32"/>
  <c r="O18" i="32"/>
  <c r="K19" i="32"/>
  <c r="S18" i="32"/>
  <c r="O19" i="32"/>
  <c r="W18" i="32"/>
  <c r="W19" i="32"/>
  <c r="B24" i="32"/>
  <c r="M24" i="32" s="1"/>
  <c r="G16" i="32"/>
  <c r="S19" i="32"/>
  <c r="C24" i="32"/>
  <c r="E26" i="32"/>
  <c r="I16" i="32"/>
  <c r="K16" i="32"/>
  <c r="G18" i="32"/>
  <c r="I26" i="32"/>
  <c r="O16" i="32"/>
  <c r="C23" i="32"/>
  <c r="K26" i="32"/>
  <c r="S16" i="32"/>
  <c r="K18" i="32"/>
  <c r="G19" i="32"/>
  <c r="O26" i="32"/>
  <c r="W16" i="32"/>
  <c r="S25" i="32"/>
  <c r="S26" i="32"/>
  <c r="U26" i="32"/>
  <c r="W26" i="32"/>
  <c r="E15" i="32"/>
  <c r="U15" i="32"/>
  <c r="M16" i="32"/>
  <c r="E17" i="32"/>
  <c r="U17" i="32"/>
  <c r="M18" i="32"/>
  <c r="M19" i="32"/>
  <c r="E25" i="32"/>
  <c r="U25" i="32"/>
  <c r="M26" i="32"/>
  <c r="S15" i="32"/>
  <c r="W15" i="32"/>
  <c r="G25" i="32"/>
  <c r="W25" i="32"/>
  <c r="G17" i="32"/>
  <c r="I15" i="32"/>
  <c r="Q16" i="32"/>
  <c r="I17" i="32"/>
  <c r="Q18" i="32"/>
  <c r="Q19" i="32"/>
  <c r="B23" i="32"/>
  <c r="I25" i="32"/>
  <c r="G15" i="32"/>
  <c r="W17" i="32"/>
  <c r="K15" i="32"/>
  <c r="K25" i="32"/>
  <c r="S17" i="32"/>
  <c r="K17" i="32"/>
  <c r="M15" i="32"/>
  <c r="E16" i="32"/>
  <c r="M17" i="32"/>
  <c r="E18" i="32"/>
  <c r="E19" i="32"/>
  <c r="M25" i="32"/>
  <c r="Q17" i="32"/>
  <c r="O15" i="32"/>
  <c r="O25" i="32"/>
  <c r="O24" i="32" l="1"/>
  <c r="U24" i="32"/>
  <c r="I24" i="32"/>
  <c r="G24" i="32"/>
  <c r="Q24" i="32"/>
  <c r="W24" i="32"/>
  <c r="K24" i="32"/>
  <c r="S24" i="32"/>
  <c r="E24" i="32"/>
  <c r="U23" i="32"/>
  <c r="T27" i="32" s="1"/>
  <c r="M23" i="32"/>
  <c r="L27" i="32" s="1"/>
  <c r="E23" i="32"/>
  <c r="D27" i="32" s="1"/>
  <c r="S23" i="32"/>
  <c r="R27" i="32" s="1"/>
  <c r="K23" i="32"/>
  <c r="J27" i="32" s="1"/>
  <c r="Q23" i="32"/>
  <c r="P27" i="32" s="1"/>
  <c r="I23" i="32"/>
  <c r="H27" i="32" s="1"/>
  <c r="W23" i="32"/>
  <c r="V27" i="32" s="1"/>
  <c r="O23" i="32"/>
  <c r="N27" i="32" s="1"/>
  <c r="G23" i="32"/>
  <c r="F27" i="32" s="1"/>
  <c r="K16" i="17" l="1"/>
  <c r="L16" i="17" s="1"/>
  <c r="H2" i="17"/>
  <c r="K2" i="17"/>
  <c r="J13" i="17" l="1"/>
  <c r="AB42" i="12" l="1"/>
  <c r="AA42" i="12"/>
  <c r="Z42" i="12"/>
  <c r="Y42" i="12"/>
  <c r="X42" i="12"/>
  <c r="W42" i="12"/>
  <c r="V42" i="12"/>
  <c r="U42" i="12"/>
  <c r="T42" i="12"/>
  <c r="S42" i="12"/>
  <c r="R42" i="12"/>
  <c r="Q42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Q29" i="12"/>
  <c r="R29" i="12"/>
  <c r="S29" i="12"/>
  <c r="T29" i="12"/>
  <c r="U29" i="12"/>
  <c r="V29" i="12"/>
  <c r="W29" i="12"/>
  <c r="X29" i="12"/>
  <c r="Y29" i="12"/>
  <c r="Z29" i="12"/>
  <c r="AA29" i="12"/>
  <c r="AB29" i="12"/>
  <c r="Q28" i="12"/>
  <c r="R28" i="12"/>
  <c r="S28" i="12"/>
  <c r="T28" i="12"/>
  <c r="U28" i="12"/>
  <c r="V28" i="12"/>
  <c r="W28" i="12"/>
  <c r="X28" i="12"/>
  <c r="Y28" i="12"/>
  <c r="Z28" i="12"/>
  <c r="AA28" i="12"/>
  <c r="AB28" i="12"/>
  <c r="E19" i="28"/>
  <c r="J20" i="10" s="1"/>
  <c r="H47" i="8"/>
  <c r="F47" i="8"/>
  <c r="H71" i="8"/>
  <c r="F71" i="8"/>
  <c r="B71" i="8"/>
  <c r="BL19" i="8"/>
  <c r="BK19" i="8"/>
  <c r="BJ19" i="8"/>
  <c r="BI19" i="8"/>
  <c r="BH19" i="8"/>
  <c r="U58" i="7"/>
  <c r="S58" i="7"/>
  <c r="H58" i="7"/>
  <c r="F58" i="7"/>
  <c r="H46" i="7"/>
  <c r="F46" i="7"/>
  <c r="U115" i="6"/>
  <c r="S115" i="6"/>
  <c r="H115" i="6"/>
  <c r="F115" i="6"/>
  <c r="U97" i="6"/>
  <c r="S97" i="6"/>
  <c r="H97" i="6"/>
  <c r="F97" i="6"/>
  <c r="H47" i="6"/>
  <c r="F47" i="6"/>
  <c r="AK23" i="6"/>
  <c r="X25" i="6"/>
  <c r="AX25" i="6"/>
  <c r="Z81" i="14"/>
  <c r="BZ81" i="14"/>
  <c r="BG43" i="14"/>
  <c r="BI43" i="14"/>
  <c r="CG110" i="14"/>
  <c r="CG87" i="14"/>
  <c r="V11" i="14"/>
  <c r="BG44" i="17" l="1"/>
  <c r="BO44" i="17"/>
  <c r="BK44" i="17"/>
  <c r="BK7" i="17"/>
  <c r="BH44" i="17"/>
  <c r="BJ7" i="17"/>
  <c r="BI7" i="17"/>
  <c r="BG7" i="17"/>
  <c r="BP41" i="17"/>
  <c r="BO41" i="17"/>
  <c r="BN41" i="17"/>
  <c r="BM41" i="17"/>
  <c r="BL41" i="17"/>
  <c r="BK41" i="17"/>
  <c r="BJ41" i="17"/>
  <c r="BI41" i="17"/>
  <c r="BH41" i="17"/>
  <c r="BG41" i="17"/>
  <c r="BP28" i="17"/>
  <c r="BO28" i="17"/>
  <c r="BN28" i="17"/>
  <c r="BM28" i="17"/>
  <c r="BL28" i="17"/>
  <c r="BK28" i="17"/>
  <c r="BJ28" i="17"/>
  <c r="BI28" i="17"/>
  <c r="BH28" i="17"/>
  <c r="BG28" i="17"/>
  <c r="BP21" i="17"/>
  <c r="BO21" i="17"/>
  <c r="BN21" i="17"/>
  <c r="BM21" i="17"/>
  <c r="BL21" i="17"/>
  <c r="BK21" i="17"/>
  <c r="BJ21" i="17"/>
  <c r="BI21" i="17"/>
  <c r="BH21" i="17"/>
  <c r="BG21" i="17"/>
  <c r="BL19" i="17"/>
  <c r="BK19" i="17"/>
  <c r="BJ19" i="17"/>
  <c r="BI19" i="17"/>
  <c r="BG19" i="17"/>
  <c r="BP18" i="17"/>
  <c r="BO18" i="17"/>
  <c r="BN18" i="17"/>
  <c r="BM18" i="17"/>
  <c r="BL18" i="17"/>
  <c r="BK18" i="17"/>
  <c r="BJ18" i="17"/>
  <c r="BI18" i="17"/>
  <c r="BH18" i="17"/>
  <c r="BG18" i="17"/>
  <c r="BP16" i="17"/>
  <c r="BO16" i="17"/>
  <c r="BN16" i="17"/>
  <c r="BM16" i="17"/>
  <c r="BL16" i="17"/>
  <c r="BK16" i="17"/>
  <c r="BJ16" i="17"/>
  <c r="BI16" i="17"/>
  <c r="BH16" i="17"/>
  <c r="BG16" i="17"/>
  <c r="BP4" i="17"/>
  <c r="BO4" i="17"/>
  <c r="BN4" i="17"/>
  <c r="BM4" i="17"/>
  <c r="BL4" i="17"/>
  <c r="BK4" i="17"/>
  <c r="BJ4" i="17"/>
  <c r="BI4" i="17"/>
  <c r="BH4" i="17"/>
  <c r="BG4" i="17"/>
  <c r="BA44" i="17"/>
  <c r="AY7" i="17"/>
  <c r="BC44" i="17"/>
  <c r="Z43" i="12" s="1"/>
  <c r="BD7" i="17"/>
  <c r="BB44" i="17"/>
  <c r="BE7" i="17"/>
  <c r="AY44" i="17"/>
  <c r="BB7" i="17"/>
  <c r="AZ7" i="17"/>
  <c r="BF41" i="17"/>
  <c r="BE41" i="17"/>
  <c r="BD41" i="17"/>
  <c r="BC41" i="17"/>
  <c r="BB41" i="17"/>
  <c r="BA41" i="17"/>
  <c r="AZ41" i="17"/>
  <c r="AY41" i="17"/>
  <c r="BF28" i="17"/>
  <c r="BE28" i="17"/>
  <c r="BD28" i="17"/>
  <c r="BC28" i="17"/>
  <c r="BB28" i="17"/>
  <c r="BA28" i="17"/>
  <c r="AZ28" i="17"/>
  <c r="AY28" i="17"/>
  <c r="BF21" i="17"/>
  <c r="BE21" i="17"/>
  <c r="BD21" i="17"/>
  <c r="BC21" i="17"/>
  <c r="BB21" i="17"/>
  <c r="BA21" i="17"/>
  <c r="AZ21" i="17"/>
  <c r="AY21" i="17"/>
  <c r="BF19" i="17"/>
  <c r="BE19" i="17"/>
  <c r="BD19" i="17"/>
  <c r="BC19" i="17"/>
  <c r="BB19" i="17"/>
  <c r="BA19" i="17"/>
  <c r="AZ19" i="17"/>
  <c r="AY19" i="17"/>
  <c r="BF18" i="17"/>
  <c r="BE18" i="17"/>
  <c r="BD18" i="17"/>
  <c r="BC18" i="17"/>
  <c r="BB18" i="17"/>
  <c r="BA18" i="17"/>
  <c r="AZ18" i="17"/>
  <c r="AY18" i="17"/>
  <c r="BF16" i="17"/>
  <c r="BE16" i="17"/>
  <c r="BD16" i="17"/>
  <c r="BC16" i="17"/>
  <c r="BB16" i="17"/>
  <c r="BA16" i="17"/>
  <c r="AZ16" i="17"/>
  <c r="AY16" i="17"/>
  <c r="BF4" i="17"/>
  <c r="BE4" i="17"/>
  <c r="BD4" i="17"/>
  <c r="BC4" i="17"/>
  <c r="BB4" i="17"/>
  <c r="BA4" i="17"/>
  <c r="AZ4" i="17"/>
  <c r="AY4" i="17"/>
  <c r="AX44" i="17"/>
  <c r="AX7" i="17"/>
  <c r="AS7" i="17"/>
  <c r="AR7" i="17"/>
  <c r="AP44" i="17"/>
  <c r="W43" i="12" s="1"/>
  <c r="AL44" i="17"/>
  <c r="AO44" i="17"/>
  <c r="AN7" i="17"/>
  <c r="AB43" i="12" l="1"/>
  <c r="AA43" i="12"/>
  <c r="Y43" i="12"/>
  <c r="AG44" i="17"/>
  <c r="AB44" i="17" l="1"/>
  <c r="T43" i="12" s="1"/>
  <c r="AD7" i="17"/>
  <c r="AE7" i="17"/>
  <c r="AF7" i="17"/>
  <c r="Z44" i="17"/>
  <c r="X44" i="17"/>
  <c r="S43" i="12" s="1"/>
  <c r="AA7" i="17"/>
  <c r="Z7" i="17"/>
  <c r="R44" i="17"/>
  <c r="R7" i="17"/>
  <c r="N44" i="17"/>
  <c r="Q43" i="12" s="1"/>
  <c r="Q7" i="17"/>
  <c r="N7" i="17"/>
  <c r="AK7" i="17"/>
  <c r="AG7" i="17"/>
  <c r="Q44" i="17"/>
  <c r="O44" i="17"/>
  <c r="P7" i="17"/>
  <c r="O7" i="17"/>
  <c r="X7" i="17"/>
  <c r="U7" i="17"/>
  <c r="T7" i="17"/>
  <c r="AB7" i="17"/>
  <c r="AL7" i="17"/>
  <c r="AJ7" i="17"/>
  <c r="P44" i="17"/>
  <c r="AW44" i="17"/>
  <c r="AU44" i="17"/>
  <c r="AT44" i="17"/>
  <c r="AV7" i="17"/>
  <c r="AW7" i="17"/>
  <c r="AT7" i="17"/>
  <c r="AQ7" i="17"/>
  <c r="AX41" i="17"/>
  <c r="AW41" i="17"/>
  <c r="AV41" i="17"/>
  <c r="AU41" i="17"/>
  <c r="AT41" i="17"/>
  <c r="AX28" i="17"/>
  <c r="AW28" i="17"/>
  <c r="AV28" i="17"/>
  <c r="AU28" i="17"/>
  <c r="AT28" i="17"/>
  <c r="AX21" i="17"/>
  <c r="AW21" i="17"/>
  <c r="AV21" i="17"/>
  <c r="AU21" i="17"/>
  <c r="AT21" i="17"/>
  <c r="AX19" i="17"/>
  <c r="AW19" i="17"/>
  <c r="AV19" i="17"/>
  <c r="AU19" i="17"/>
  <c r="AT19" i="17"/>
  <c r="AX18" i="17"/>
  <c r="AW18" i="17"/>
  <c r="AV18" i="17"/>
  <c r="AU18" i="17"/>
  <c r="AT18" i="17"/>
  <c r="AX16" i="17"/>
  <c r="AW16" i="17"/>
  <c r="AV16" i="17"/>
  <c r="AU16" i="17"/>
  <c r="AT16" i="17"/>
  <c r="AX4" i="17"/>
  <c r="AW4" i="17"/>
  <c r="AV4" i="17"/>
  <c r="AU4" i="17"/>
  <c r="AT4" i="17"/>
  <c r="AS41" i="17"/>
  <c r="AR41" i="17"/>
  <c r="AQ41" i="17"/>
  <c r="AP41" i="17"/>
  <c r="AS28" i="17"/>
  <c r="AR28" i="17"/>
  <c r="AQ28" i="17"/>
  <c r="AP28" i="17"/>
  <c r="AS21" i="17"/>
  <c r="AR21" i="17"/>
  <c r="AQ21" i="17"/>
  <c r="AP21" i="17"/>
  <c r="AS19" i="17"/>
  <c r="AR19" i="17"/>
  <c r="AQ19" i="17"/>
  <c r="AP19" i="17"/>
  <c r="AS18" i="17"/>
  <c r="AR18" i="17"/>
  <c r="AQ18" i="17"/>
  <c r="AP18" i="17"/>
  <c r="AS16" i="17"/>
  <c r="AR16" i="17"/>
  <c r="AQ16" i="17"/>
  <c r="AP16" i="17"/>
  <c r="AP7" i="17"/>
  <c r="AS4" i="17"/>
  <c r="AR4" i="17"/>
  <c r="AQ4" i="17"/>
  <c r="AP4" i="17"/>
  <c r="AN44" i="17"/>
  <c r="V43" i="12" s="1"/>
  <c r="AN24" i="17"/>
  <c r="AN26" i="17" s="1"/>
  <c r="AL38" i="17"/>
  <c r="AL34" i="17" s="1"/>
  <c r="AO7" i="17"/>
  <c r="AM7" i="17"/>
  <c r="AO41" i="17"/>
  <c r="AN41" i="17"/>
  <c r="AM41" i="17"/>
  <c r="AL41" i="17"/>
  <c r="AO28" i="17"/>
  <c r="AN28" i="17"/>
  <c r="AM28" i="17"/>
  <c r="AL28" i="17"/>
  <c r="AO21" i="17"/>
  <c r="AN21" i="17"/>
  <c r="AM21" i="17"/>
  <c r="AL21" i="17"/>
  <c r="AO19" i="17"/>
  <c r="AN19" i="17"/>
  <c r="AM19" i="17"/>
  <c r="AL19" i="17"/>
  <c r="AO18" i="17"/>
  <c r="AN18" i="17"/>
  <c r="AM18" i="17"/>
  <c r="AL18" i="17"/>
  <c r="AO16" i="17"/>
  <c r="AN16" i="17"/>
  <c r="AM16" i="17"/>
  <c r="AL16" i="17"/>
  <c r="AO4" i="17"/>
  <c r="AN4" i="17"/>
  <c r="AM4" i="17"/>
  <c r="AL4" i="17"/>
  <c r="Z286" i="10"/>
  <c r="Y286" i="10"/>
  <c r="X286" i="10"/>
  <c r="X287" i="10" s="1"/>
  <c r="Q286" i="10"/>
  <c r="P286" i="10"/>
  <c r="O286" i="10"/>
  <c r="N286" i="10"/>
  <c r="K286" i="10"/>
  <c r="J286" i="10"/>
  <c r="I286" i="10"/>
  <c r="H286" i="10"/>
  <c r="G286" i="10"/>
  <c r="F286" i="10"/>
  <c r="E286" i="10"/>
  <c r="C286" i="10"/>
  <c r="B286" i="10"/>
  <c r="Z285" i="10"/>
  <c r="Y285" i="10"/>
  <c r="Y287" i="10" s="1"/>
  <c r="X285" i="10"/>
  <c r="Q285" i="10"/>
  <c r="P285" i="10"/>
  <c r="O285" i="10"/>
  <c r="N285" i="10"/>
  <c r="K285" i="10"/>
  <c r="J285" i="10"/>
  <c r="I285" i="10"/>
  <c r="H285" i="10"/>
  <c r="G285" i="10"/>
  <c r="F285" i="10"/>
  <c r="E285" i="10"/>
  <c r="C285" i="10"/>
  <c r="B285" i="10"/>
  <c r="Z284" i="10"/>
  <c r="Y284" i="10"/>
  <c r="X284" i="10"/>
  <c r="Q284" i="10"/>
  <c r="P284" i="10"/>
  <c r="O284" i="10"/>
  <c r="N284" i="10"/>
  <c r="K284" i="10"/>
  <c r="J284" i="10"/>
  <c r="I284" i="10"/>
  <c r="H284" i="10"/>
  <c r="G284" i="10"/>
  <c r="F284" i="10"/>
  <c r="E284" i="10"/>
  <c r="C284" i="10"/>
  <c r="Z289" i="10"/>
  <c r="Y289" i="10"/>
  <c r="X289" i="10"/>
  <c r="Z288" i="10"/>
  <c r="Y288" i="10"/>
  <c r="X288" i="10"/>
  <c r="Z287" i="10"/>
  <c r="Z321" i="10"/>
  <c r="Y321" i="10"/>
  <c r="X321" i="10"/>
  <c r="Q321" i="10"/>
  <c r="P321" i="10"/>
  <c r="O321" i="10"/>
  <c r="N321" i="10"/>
  <c r="K321" i="10"/>
  <c r="J321" i="10"/>
  <c r="I321" i="10"/>
  <c r="H321" i="10"/>
  <c r="G321" i="10"/>
  <c r="F321" i="10"/>
  <c r="E321" i="10"/>
  <c r="C321" i="10"/>
  <c r="B321" i="10"/>
  <c r="Z320" i="10"/>
  <c r="Y320" i="10"/>
  <c r="X320" i="10"/>
  <c r="Q320" i="10"/>
  <c r="P320" i="10"/>
  <c r="O320" i="10"/>
  <c r="N320" i="10"/>
  <c r="K320" i="10"/>
  <c r="J320" i="10"/>
  <c r="I320" i="10"/>
  <c r="H320" i="10"/>
  <c r="G320" i="10"/>
  <c r="F320" i="10"/>
  <c r="E320" i="10"/>
  <c r="C320" i="10"/>
  <c r="B320" i="10"/>
  <c r="Z319" i="10"/>
  <c r="Y319" i="10"/>
  <c r="X319" i="10"/>
  <c r="Q319" i="10"/>
  <c r="P319" i="10"/>
  <c r="O319" i="10"/>
  <c r="N319" i="10"/>
  <c r="K319" i="10"/>
  <c r="J319" i="10"/>
  <c r="I319" i="10"/>
  <c r="H319" i="10"/>
  <c r="G319" i="10"/>
  <c r="F319" i="10"/>
  <c r="E319" i="10"/>
  <c r="C319" i="10"/>
  <c r="B319" i="10"/>
  <c r="Z318" i="10"/>
  <c r="Y318" i="10"/>
  <c r="X318" i="10"/>
  <c r="Q318" i="10"/>
  <c r="P318" i="10"/>
  <c r="O318" i="10"/>
  <c r="N318" i="10"/>
  <c r="K318" i="10"/>
  <c r="J318" i="10"/>
  <c r="I318" i="10"/>
  <c r="H318" i="10"/>
  <c r="G318" i="10"/>
  <c r="F318" i="10"/>
  <c r="E318" i="10"/>
  <c r="C318" i="10"/>
  <c r="B318" i="10"/>
  <c r="Z317" i="10"/>
  <c r="Y317" i="10"/>
  <c r="X317" i="10"/>
  <c r="Q317" i="10"/>
  <c r="P317" i="10"/>
  <c r="O317" i="10"/>
  <c r="N317" i="10"/>
  <c r="K317" i="10"/>
  <c r="J317" i="10"/>
  <c r="I317" i="10"/>
  <c r="H317" i="10"/>
  <c r="G317" i="10"/>
  <c r="F317" i="10"/>
  <c r="E317" i="10"/>
  <c r="C317" i="10"/>
  <c r="B317" i="10"/>
  <c r="Z313" i="10"/>
  <c r="Y313" i="10"/>
  <c r="X313" i="10"/>
  <c r="Q313" i="10"/>
  <c r="P313" i="10"/>
  <c r="O313" i="10"/>
  <c r="N313" i="10"/>
  <c r="K313" i="10"/>
  <c r="J313" i="10"/>
  <c r="I313" i="10"/>
  <c r="H313" i="10"/>
  <c r="G313" i="10"/>
  <c r="F313" i="10"/>
  <c r="E313" i="10"/>
  <c r="D313" i="10"/>
  <c r="C313" i="10"/>
  <c r="B313" i="10"/>
  <c r="Z312" i="10"/>
  <c r="Y312" i="10"/>
  <c r="X312" i="10"/>
  <c r="Q312" i="10"/>
  <c r="P312" i="10"/>
  <c r="O312" i="10"/>
  <c r="N312" i="10"/>
  <c r="K312" i="10"/>
  <c r="J312" i="10"/>
  <c r="I312" i="10"/>
  <c r="H312" i="10"/>
  <c r="G312" i="10"/>
  <c r="F312" i="10"/>
  <c r="F288" i="10" s="1"/>
  <c r="E312" i="10"/>
  <c r="D312" i="10"/>
  <c r="C312" i="10"/>
  <c r="B312" i="10"/>
  <c r="Z311" i="10"/>
  <c r="Y311" i="10"/>
  <c r="X311" i="10"/>
  <c r="Q311" i="10"/>
  <c r="P311" i="10"/>
  <c r="O311" i="10"/>
  <c r="N311" i="10"/>
  <c r="K311" i="10"/>
  <c r="J311" i="10"/>
  <c r="I311" i="10"/>
  <c r="H311" i="10"/>
  <c r="G311" i="10"/>
  <c r="F311" i="10"/>
  <c r="E311" i="10"/>
  <c r="D311" i="10"/>
  <c r="C311" i="10"/>
  <c r="B311" i="10"/>
  <c r="Z310" i="10"/>
  <c r="Y310" i="10"/>
  <c r="X310" i="10"/>
  <c r="Q310" i="10"/>
  <c r="P310" i="10"/>
  <c r="O310" i="10"/>
  <c r="N310" i="10"/>
  <c r="K310" i="10"/>
  <c r="J310" i="10"/>
  <c r="I310" i="10"/>
  <c r="H310" i="10"/>
  <c r="G310" i="10"/>
  <c r="F310" i="10"/>
  <c r="AC310" i="10" s="1"/>
  <c r="E310" i="10"/>
  <c r="D310" i="10"/>
  <c r="C310" i="10"/>
  <c r="B310" i="10"/>
  <c r="Z309" i="10"/>
  <c r="Y309" i="10"/>
  <c r="X309" i="10"/>
  <c r="Q309" i="10"/>
  <c r="P309" i="10"/>
  <c r="O309" i="10"/>
  <c r="N309" i="10"/>
  <c r="K309" i="10"/>
  <c r="J309" i="10"/>
  <c r="I309" i="10"/>
  <c r="H309" i="10"/>
  <c r="G309" i="10"/>
  <c r="F309" i="10"/>
  <c r="E309" i="10"/>
  <c r="D309" i="10"/>
  <c r="AC309" i="10" s="1"/>
  <c r="AN38" i="17" s="1"/>
  <c r="C309" i="10"/>
  <c r="B309" i="10"/>
  <c r="Z305" i="10"/>
  <c r="Y305" i="10"/>
  <c r="X305" i="10"/>
  <c r="Q305" i="10"/>
  <c r="P305" i="10"/>
  <c r="P289" i="10" s="1"/>
  <c r="O305" i="10"/>
  <c r="N305" i="10"/>
  <c r="K305" i="10"/>
  <c r="J305" i="10"/>
  <c r="I305" i="10"/>
  <c r="H305" i="10"/>
  <c r="G305" i="10"/>
  <c r="F305" i="10"/>
  <c r="F289" i="10" s="1"/>
  <c r="E305" i="10"/>
  <c r="D305" i="10"/>
  <c r="C305" i="10"/>
  <c r="B305" i="10"/>
  <c r="Z304" i="10"/>
  <c r="Y304" i="10"/>
  <c r="X304" i="10"/>
  <c r="Q304" i="10"/>
  <c r="P304" i="10"/>
  <c r="O304" i="10"/>
  <c r="N304" i="10"/>
  <c r="K304" i="10"/>
  <c r="J304" i="10"/>
  <c r="I304" i="10"/>
  <c r="H304" i="10"/>
  <c r="G304" i="10"/>
  <c r="G288" i="10" s="1"/>
  <c r="F304" i="10"/>
  <c r="E304" i="10"/>
  <c r="D304" i="10"/>
  <c r="C304" i="10"/>
  <c r="B304" i="10"/>
  <c r="Z303" i="10"/>
  <c r="Y303" i="10"/>
  <c r="X303" i="10"/>
  <c r="Q303" i="10"/>
  <c r="P303" i="10"/>
  <c r="O303" i="10"/>
  <c r="N303" i="10"/>
  <c r="K303" i="10"/>
  <c r="J303" i="10"/>
  <c r="I303" i="10"/>
  <c r="H303" i="10"/>
  <c r="G303" i="10"/>
  <c r="F303" i="10"/>
  <c r="E303" i="10"/>
  <c r="D303" i="10"/>
  <c r="C303" i="10"/>
  <c r="B303" i="10"/>
  <c r="Z302" i="10"/>
  <c r="Y302" i="10"/>
  <c r="X302" i="10"/>
  <c r="Q302" i="10"/>
  <c r="P302" i="10"/>
  <c r="O302" i="10"/>
  <c r="N302" i="10"/>
  <c r="K302" i="10"/>
  <c r="J302" i="10"/>
  <c r="I302" i="10"/>
  <c r="H302" i="10"/>
  <c r="G302" i="10"/>
  <c r="F302" i="10"/>
  <c r="E302" i="10"/>
  <c r="D302" i="10"/>
  <c r="AC302" i="10" s="1"/>
  <c r="AM24" i="17" s="1"/>
  <c r="C302" i="10"/>
  <c r="B302" i="10"/>
  <c r="Z301" i="10"/>
  <c r="Y301" i="10"/>
  <c r="X301" i="10"/>
  <c r="Q301" i="10"/>
  <c r="P301" i="10"/>
  <c r="O301" i="10"/>
  <c r="N301" i="10"/>
  <c r="K301" i="10"/>
  <c r="J301" i="10"/>
  <c r="I301" i="10"/>
  <c r="H301" i="10"/>
  <c r="G301" i="10"/>
  <c r="F301" i="10"/>
  <c r="E301" i="10"/>
  <c r="D301" i="10"/>
  <c r="C301" i="10"/>
  <c r="B301" i="10"/>
  <c r="Z297" i="10"/>
  <c r="Y297" i="10"/>
  <c r="X297" i="10"/>
  <c r="Q297" i="10"/>
  <c r="P297" i="10"/>
  <c r="O297" i="10"/>
  <c r="N297" i="10"/>
  <c r="K297" i="10"/>
  <c r="J297" i="10"/>
  <c r="I297" i="10"/>
  <c r="H297" i="10"/>
  <c r="G297" i="10"/>
  <c r="F297" i="10"/>
  <c r="E297" i="10"/>
  <c r="D297" i="10"/>
  <c r="C297" i="10"/>
  <c r="B297" i="10"/>
  <c r="Z296" i="10"/>
  <c r="Y296" i="10"/>
  <c r="X296" i="10"/>
  <c r="Q296" i="10"/>
  <c r="P296" i="10"/>
  <c r="O296" i="10"/>
  <c r="N296" i="10"/>
  <c r="K296" i="10"/>
  <c r="J296" i="10"/>
  <c r="I296" i="10"/>
  <c r="H296" i="10"/>
  <c r="G296" i="10"/>
  <c r="F296" i="10"/>
  <c r="E296" i="10"/>
  <c r="D296" i="10"/>
  <c r="C296" i="10"/>
  <c r="B296" i="10"/>
  <c r="Z295" i="10"/>
  <c r="Y295" i="10"/>
  <c r="X295" i="10"/>
  <c r="Q295" i="10"/>
  <c r="P295" i="10"/>
  <c r="O295" i="10"/>
  <c r="N295" i="10"/>
  <c r="K295" i="10"/>
  <c r="J295" i="10"/>
  <c r="I295" i="10"/>
  <c r="H295" i="10"/>
  <c r="G295" i="10"/>
  <c r="F295" i="10"/>
  <c r="E295" i="10"/>
  <c r="D295" i="10"/>
  <c r="C295" i="10"/>
  <c r="B295" i="10"/>
  <c r="Z294" i="10"/>
  <c r="Y294" i="10"/>
  <c r="X294" i="10"/>
  <c r="Q294" i="10"/>
  <c r="P294" i="10"/>
  <c r="O294" i="10"/>
  <c r="N294" i="10"/>
  <c r="K294" i="10"/>
  <c r="J294" i="10"/>
  <c r="I294" i="10"/>
  <c r="H294" i="10"/>
  <c r="G294" i="10"/>
  <c r="F294" i="10"/>
  <c r="E294" i="10"/>
  <c r="D294" i="10"/>
  <c r="C294" i="10"/>
  <c r="B294" i="10"/>
  <c r="AC294" i="10" s="1"/>
  <c r="AL24" i="17" s="1"/>
  <c r="AL26" i="17" s="1"/>
  <c r="Z293" i="10"/>
  <c r="Y293" i="10"/>
  <c r="X293" i="10"/>
  <c r="Q293" i="10"/>
  <c r="P293" i="10"/>
  <c r="O293" i="10"/>
  <c r="N293" i="10"/>
  <c r="K293" i="10"/>
  <c r="J293" i="10"/>
  <c r="I293" i="10"/>
  <c r="H293" i="10"/>
  <c r="G293" i="10"/>
  <c r="F293" i="10"/>
  <c r="E293" i="10"/>
  <c r="D293" i="10"/>
  <c r="C293" i="10"/>
  <c r="AC293" i="10" s="1"/>
  <c r="B293" i="10"/>
  <c r="Z316" i="10"/>
  <c r="Z308" i="10"/>
  <c r="Z300" i="10"/>
  <c r="Y316" i="10"/>
  <c r="Y308" i="10"/>
  <c r="Y300" i="10"/>
  <c r="X316" i="10"/>
  <c r="X308" i="10"/>
  <c r="X300" i="10"/>
  <c r="Z292" i="10"/>
  <c r="Y292" i="10"/>
  <c r="X292" i="10"/>
  <c r="Q316" i="10"/>
  <c r="Q308" i="10"/>
  <c r="Q300" i="10"/>
  <c r="Q292" i="10"/>
  <c r="P308" i="10"/>
  <c r="P300" i="10"/>
  <c r="P292" i="10"/>
  <c r="P316" i="10"/>
  <c r="O316" i="10"/>
  <c r="O308" i="10"/>
  <c r="O300" i="10"/>
  <c r="O292" i="10"/>
  <c r="N316" i="10"/>
  <c r="N308" i="10"/>
  <c r="N300" i="10"/>
  <c r="N292" i="10"/>
  <c r="K316" i="10"/>
  <c r="K308" i="10"/>
  <c r="K300" i="10"/>
  <c r="K292" i="10"/>
  <c r="J316" i="10"/>
  <c r="J308" i="10"/>
  <c r="J300" i="10"/>
  <c r="J292" i="10"/>
  <c r="I316" i="10"/>
  <c r="I308" i="10"/>
  <c r="I300" i="10"/>
  <c r="I292" i="10"/>
  <c r="H308" i="10"/>
  <c r="H300" i="10"/>
  <c r="H292" i="10"/>
  <c r="H316" i="10"/>
  <c r="G316" i="10"/>
  <c r="G308" i="10"/>
  <c r="G300" i="10"/>
  <c r="G292" i="10"/>
  <c r="F316" i="10"/>
  <c r="F308" i="10"/>
  <c r="F300" i="10"/>
  <c r="F292" i="10"/>
  <c r="E316" i="10"/>
  <c r="E308" i="10"/>
  <c r="E300" i="10"/>
  <c r="E292" i="10"/>
  <c r="D308" i="10"/>
  <c r="D300" i="10"/>
  <c r="D292" i="10"/>
  <c r="C316" i="10"/>
  <c r="C308" i="10"/>
  <c r="C300" i="10"/>
  <c r="C292" i="10"/>
  <c r="B316" i="10"/>
  <c r="B308" i="10"/>
  <c r="B300" i="10"/>
  <c r="B292" i="10"/>
  <c r="H289" i="10"/>
  <c r="B284" i="10"/>
  <c r="Q289" i="10"/>
  <c r="O289" i="10"/>
  <c r="N289" i="10"/>
  <c r="J289" i="10"/>
  <c r="I289" i="10"/>
  <c r="G289" i="10"/>
  <c r="E289" i="10"/>
  <c r="B289" i="10"/>
  <c r="Q288" i="10"/>
  <c r="P288" i="10"/>
  <c r="O288" i="10"/>
  <c r="K288" i="10"/>
  <c r="I288" i="10"/>
  <c r="H288" i="10"/>
  <c r="E288" i="10"/>
  <c r="C288" i="10"/>
  <c r="AJ44" i="17"/>
  <c r="AI44" i="17"/>
  <c r="U43" i="12" s="1"/>
  <c r="AI41" i="17"/>
  <c r="AI28" i="17"/>
  <c r="AI21" i="17"/>
  <c r="AI19" i="17"/>
  <c r="AI18" i="17"/>
  <c r="AI16" i="17"/>
  <c r="AI4" i="17"/>
  <c r="AK41" i="17"/>
  <c r="AJ41" i="17"/>
  <c r="AH41" i="17"/>
  <c r="AG41" i="17"/>
  <c r="AK28" i="17"/>
  <c r="AJ28" i="17"/>
  <c r="AH28" i="17"/>
  <c r="AG28" i="17"/>
  <c r="AK21" i="17"/>
  <c r="AJ21" i="17"/>
  <c r="AH21" i="17"/>
  <c r="AG21" i="17"/>
  <c r="AK19" i="17"/>
  <c r="AJ19" i="17"/>
  <c r="AH19" i="17"/>
  <c r="AG19" i="17"/>
  <c r="AK18" i="17"/>
  <c r="AJ18" i="17"/>
  <c r="AH18" i="17"/>
  <c r="AG18" i="17"/>
  <c r="AK16" i="17"/>
  <c r="AJ16" i="17"/>
  <c r="AH16" i="17"/>
  <c r="AG16" i="17"/>
  <c r="AK4" i="17"/>
  <c r="AJ4" i="17"/>
  <c r="AH4" i="17"/>
  <c r="AG4" i="17"/>
  <c r="AB18" i="17"/>
  <c r="AC18" i="17"/>
  <c r="AD18" i="17"/>
  <c r="AE18" i="17"/>
  <c r="AF18" i="17"/>
  <c r="AC7" i="17"/>
  <c r="AF41" i="17"/>
  <c r="AE41" i="17"/>
  <c r="AD41" i="17"/>
  <c r="AC41" i="17"/>
  <c r="AB41" i="17"/>
  <c r="AF28" i="17"/>
  <c r="AE28" i="17"/>
  <c r="AD28" i="17"/>
  <c r="AC28" i="17"/>
  <c r="AB28" i="17"/>
  <c r="AF21" i="17"/>
  <c r="AE21" i="17"/>
  <c r="AD21" i="17"/>
  <c r="AC21" i="17"/>
  <c r="AB21" i="17"/>
  <c r="AF19" i="17"/>
  <c r="AE19" i="17"/>
  <c r="AD19" i="17"/>
  <c r="AC19" i="17"/>
  <c r="AB19" i="17"/>
  <c r="AF16" i="17"/>
  <c r="AE16" i="17"/>
  <c r="AD16" i="17"/>
  <c r="AC16" i="17"/>
  <c r="AB16" i="17"/>
  <c r="AF4" i="17"/>
  <c r="AE4" i="17"/>
  <c r="AD4" i="17"/>
  <c r="AC4" i="17"/>
  <c r="AB4" i="17"/>
  <c r="W44" i="17"/>
  <c r="S44" i="17"/>
  <c r="V7" i="17"/>
  <c r="U41" i="17"/>
  <c r="T41" i="17"/>
  <c r="U28" i="17"/>
  <c r="T28" i="17"/>
  <c r="U21" i="17"/>
  <c r="T21" i="17"/>
  <c r="U19" i="17"/>
  <c r="T19" i="17"/>
  <c r="U18" i="17"/>
  <c r="T18" i="17"/>
  <c r="U16" i="17"/>
  <c r="T16" i="17"/>
  <c r="U4" i="17"/>
  <c r="T4" i="17"/>
  <c r="X43" i="12" l="1"/>
  <c r="R43" i="12"/>
  <c r="AM26" i="17"/>
  <c r="AN32" i="17"/>
  <c r="AN36" i="17"/>
  <c r="AL36" i="17"/>
  <c r="AN34" i="17"/>
  <c r="AL32" i="17"/>
  <c r="AL25" i="17"/>
  <c r="AL23" i="17"/>
  <c r="AN23" i="17"/>
  <c r="AN25" i="17"/>
  <c r="E287" i="10"/>
  <c r="O287" i="10"/>
  <c r="N287" i="10"/>
  <c r="J288" i="10"/>
  <c r="B288" i="10"/>
  <c r="K289" i="10"/>
  <c r="N288" i="10"/>
  <c r="AC301" i="10"/>
  <c r="AM38" i="17" s="1"/>
  <c r="AM36" i="17" s="1"/>
  <c r="G287" i="10"/>
  <c r="C289" i="10"/>
  <c r="AC295" i="10"/>
  <c r="Q287" i="10"/>
  <c r="J287" i="10"/>
  <c r="AC300" i="10"/>
  <c r="AM9" i="17" s="1"/>
  <c r="AC308" i="10"/>
  <c r="P287" i="10"/>
  <c r="H287" i="10"/>
  <c r="B287" i="10"/>
  <c r="K287" i="10"/>
  <c r="C287" i="10"/>
  <c r="AC311" i="10"/>
  <c r="I287" i="10"/>
  <c r="AC303" i="10"/>
  <c r="AC292" i="10"/>
  <c r="AL9" i="17" s="1"/>
  <c r="AB18" i="12"/>
  <c r="AL37" i="17" l="1"/>
  <c r="AM23" i="17"/>
  <c r="AM12" i="17" s="1"/>
  <c r="AN37" i="17"/>
  <c r="AL10" i="17"/>
  <c r="AL11" i="17"/>
  <c r="AM32" i="17"/>
  <c r="AM34" i="17"/>
  <c r="AC312" i="10"/>
  <c r="AN9" i="17"/>
  <c r="AN12" i="17" s="1"/>
  <c r="AM10" i="17"/>
  <c r="AM11" i="17"/>
  <c r="AL12" i="17"/>
  <c r="AM25" i="17"/>
  <c r="F287" i="10"/>
  <c r="AC305" i="10"/>
  <c r="AC304" i="10"/>
  <c r="AC313" i="10"/>
  <c r="AC297" i="10"/>
  <c r="AC296" i="10"/>
  <c r="L533" i="10"/>
  <c r="D533" i="10"/>
  <c r="BY37" i="14"/>
  <c r="CL37" i="14"/>
  <c r="L582" i="10" s="1"/>
  <c r="M585" i="10"/>
  <c r="G585" i="10"/>
  <c r="F585" i="10"/>
  <c r="E585" i="10"/>
  <c r="D585" i="10"/>
  <c r="M584" i="10"/>
  <c r="L584" i="10"/>
  <c r="G584" i="10"/>
  <c r="F584" i="10"/>
  <c r="E584" i="10"/>
  <c r="D584" i="10"/>
  <c r="M583" i="10"/>
  <c r="G583" i="10"/>
  <c r="F583" i="10"/>
  <c r="E583" i="10"/>
  <c r="D583" i="10"/>
  <c r="M582" i="10"/>
  <c r="G582" i="10"/>
  <c r="F582" i="10"/>
  <c r="E582" i="10"/>
  <c r="D582" i="10"/>
  <c r="M581" i="10"/>
  <c r="L581" i="10"/>
  <c r="G581" i="10"/>
  <c r="F581" i="10"/>
  <c r="E581" i="10"/>
  <c r="AC581" i="10" s="1"/>
  <c r="BP38" i="17" s="1"/>
  <c r="D581" i="10"/>
  <c r="M577" i="10"/>
  <c r="L577" i="10"/>
  <c r="I577" i="10"/>
  <c r="H577" i="10"/>
  <c r="E577" i="10"/>
  <c r="D577" i="10"/>
  <c r="C577" i="10"/>
  <c r="B577" i="10"/>
  <c r="M576" i="10"/>
  <c r="L576" i="10"/>
  <c r="I576" i="10"/>
  <c r="H576" i="10"/>
  <c r="E576" i="10"/>
  <c r="D576" i="10"/>
  <c r="C576" i="10"/>
  <c r="B576" i="10"/>
  <c r="M575" i="10"/>
  <c r="L575" i="10"/>
  <c r="I575" i="10"/>
  <c r="H575" i="10"/>
  <c r="E575" i="10"/>
  <c r="D575" i="10"/>
  <c r="C575" i="10"/>
  <c r="B575" i="10"/>
  <c r="M574" i="10"/>
  <c r="L574" i="10"/>
  <c r="I574" i="10"/>
  <c r="H574" i="10"/>
  <c r="E574" i="10"/>
  <c r="D574" i="10"/>
  <c r="C574" i="10"/>
  <c r="B574" i="10"/>
  <c r="M573" i="10"/>
  <c r="L573" i="10"/>
  <c r="I573" i="10"/>
  <c r="H573" i="10"/>
  <c r="E573" i="10"/>
  <c r="D573" i="10"/>
  <c r="C573" i="10"/>
  <c r="B573" i="10"/>
  <c r="K569" i="10"/>
  <c r="J569" i="10"/>
  <c r="F569" i="10"/>
  <c r="C569" i="10"/>
  <c r="B569" i="10"/>
  <c r="K568" i="10"/>
  <c r="J568" i="10"/>
  <c r="F568" i="10"/>
  <c r="C568" i="10"/>
  <c r="B568" i="10"/>
  <c r="K567" i="10"/>
  <c r="J567" i="10"/>
  <c r="F567" i="10"/>
  <c r="C567" i="10"/>
  <c r="B567" i="10"/>
  <c r="K566" i="10"/>
  <c r="J566" i="10"/>
  <c r="F566" i="10"/>
  <c r="C566" i="10"/>
  <c r="B566" i="10"/>
  <c r="K565" i="10"/>
  <c r="J565" i="10"/>
  <c r="F565" i="10"/>
  <c r="C565" i="10"/>
  <c r="B565" i="10"/>
  <c r="L561" i="10"/>
  <c r="K561" i="10"/>
  <c r="J561" i="10"/>
  <c r="I561" i="10"/>
  <c r="H561" i="10"/>
  <c r="F561" i="10"/>
  <c r="E561" i="10"/>
  <c r="D561" i="10"/>
  <c r="C561" i="10"/>
  <c r="L560" i="10"/>
  <c r="K560" i="10"/>
  <c r="J560" i="10"/>
  <c r="I560" i="10"/>
  <c r="H560" i="10"/>
  <c r="F560" i="10"/>
  <c r="E560" i="10"/>
  <c r="D560" i="10"/>
  <c r="C560" i="10"/>
  <c r="L559" i="10"/>
  <c r="K559" i="10"/>
  <c r="J559" i="10"/>
  <c r="I559" i="10"/>
  <c r="H559" i="10"/>
  <c r="F559" i="10"/>
  <c r="E559" i="10"/>
  <c r="D559" i="10"/>
  <c r="C559" i="10"/>
  <c r="L558" i="10"/>
  <c r="K558" i="10"/>
  <c r="J558" i="10"/>
  <c r="I558" i="10"/>
  <c r="H558" i="10"/>
  <c r="F558" i="10"/>
  <c r="E558" i="10"/>
  <c r="D558" i="10"/>
  <c r="C558" i="10"/>
  <c r="L557" i="10"/>
  <c r="K557" i="10"/>
  <c r="J557" i="10"/>
  <c r="I557" i="10"/>
  <c r="H557" i="10"/>
  <c r="F557" i="10"/>
  <c r="E557" i="10"/>
  <c r="D557" i="10"/>
  <c r="C557" i="10"/>
  <c r="K553" i="10"/>
  <c r="J553" i="10"/>
  <c r="I553" i="10"/>
  <c r="H553" i="10"/>
  <c r="D553" i="10"/>
  <c r="D537" i="10" s="1"/>
  <c r="K552" i="10"/>
  <c r="J552" i="10"/>
  <c r="I552" i="10"/>
  <c r="H552" i="10"/>
  <c r="D552" i="10"/>
  <c r="D536" i="10" s="1"/>
  <c r="K551" i="10"/>
  <c r="J551" i="10"/>
  <c r="I551" i="10"/>
  <c r="H551" i="10"/>
  <c r="D551" i="10"/>
  <c r="K550" i="10"/>
  <c r="J550" i="10"/>
  <c r="I550" i="10"/>
  <c r="I534" i="10" s="1"/>
  <c r="H550" i="10"/>
  <c r="D550" i="10"/>
  <c r="D534" i="10" s="1"/>
  <c r="K549" i="10"/>
  <c r="J549" i="10"/>
  <c r="I549" i="10"/>
  <c r="H549" i="10"/>
  <c r="D549" i="10"/>
  <c r="M545" i="10"/>
  <c r="L545" i="10"/>
  <c r="L537" i="10" s="1"/>
  <c r="K545" i="10"/>
  <c r="K537" i="10" s="1"/>
  <c r="I545" i="10"/>
  <c r="I537" i="10" s="1"/>
  <c r="H545" i="10"/>
  <c r="H537" i="10" s="1"/>
  <c r="G545" i="10"/>
  <c r="F545" i="10"/>
  <c r="F537" i="10" s="1"/>
  <c r="B545" i="10"/>
  <c r="M544" i="10"/>
  <c r="L544" i="10"/>
  <c r="L536" i="10" s="1"/>
  <c r="K544" i="10"/>
  <c r="K536" i="10" s="1"/>
  <c r="I544" i="10"/>
  <c r="I536" i="10" s="1"/>
  <c r="H544" i="10"/>
  <c r="H536" i="10" s="1"/>
  <c r="G544" i="10"/>
  <c r="F544" i="10"/>
  <c r="F536" i="10" s="1"/>
  <c r="B544" i="10"/>
  <c r="M543" i="10"/>
  <c r="L543" i="10"/>
  <c r="K543" i="10"/>
  <c r="I543" i="10"/>
  <c r="H543" i="10"/>
  <c r="G543" i="10"/>
  <c r="F543" i="10"/>
  <c r="B543" i="10"/>
  <c r="M542" i="10"/>
  <c r="L542" i="10"/>
  <c r="L534" i="10" s="1"/>
  <c r="K542" i="10"/>
  <c r="K534" i="10" s="1"/>
  <c r="I542" i="10"/>
  <c r="H542" i="10"/>
  <c r="H534" i="10" s="1"/>
  <c r="G542" i="10"/>
  <c r="F542" i="10"/>
  <c r="F534" i="10" s="1"/>
  <c r="B542" i="10"/>
  <c r="M541" i="10"/>
  <c r="L541" i="10"/>
  <c r="K541" i="10"/>
  <c r="K533" i="10" s="1"/>
  <c r="I541" i="10"/>
  <c r="I533" i="10" s="1"/>
  <c r="H541" i="10"/>
  <c r="H533" i="10" s="1"/>
  <c r="G541" i="10"/>
  <c r="F541" i="10"/>
  <c r="F533" i="10" s="1"/>
  <c r="B541" i="10"/>
  <c r="M580" i="10"/>
  <c r="M572" i="10"/>
  <c r="M540" i="10"/>
  <c r="L556" i="10"/>
  <c r="L580" i="10"/>
  <c r="L572" i="10"/>
  <c r="L540" i="10"/>
  <c r="L532" i="10" s="1"/>
  <c r="K564" i="10"/>
  <c r="K556" i="10"/>
  <c r="K548" i="10"/>
  <c r="K540" i="10"/>
  <c r="K532" i="10" s="1"/>
  <c r="J564" i="10"/>
  <c r="J556" i="10"/>
  <c r="J548" i="10"/>
  <c r="I540" i="10"/>
  <c r="I532" i="10" s="1"/>
  <c r="I556" i="10"/>
  <c r="I548" i="10"/>
  <c r="I572" i="10"/>
  <c r="H540" i="10"/>
  <c r="H532" i="10" s="1"/>
  <c r="H556" i="10"/>
  <c r="H548" i="10"/>
  <c r="H572" i="10"/>
  <c r="G580" i="10"/>
  <c r="F580" i="10"/>
  <c r="F564" i="10"/>
  <c r="F556" i="10"/>
  <c r="F540" i="10"/>
  <c r="F532" i="10" s="1"/>
  <c r="G540" i="10"/>
  <c r="E580" i="10"/>
  <c r="E556" i="10"/>
  <c r="E572" i="10"/>
  <c r="D580" i="10"/>
  <c r="D556" i="10"/>
  <c r="D548" i="10"/>
  <c r="D532" i="10" s="1"/>
  <c r="D572" i="10"/>
  <c r="AC572" i="10" s="1"/>
  <c r="BO9" i="17" s="1"/>
  <c r="C564" i="10"/>
  <c r="C556" i="10"/>
  <c r="C572" i="10"/>
  <c r="B564" i="10"/>
  <c r="B572" i="10"/>
  <c r="B540" i="10"/>
  <c r="CD124" i="14"/>
  <c r="CE124" i="14"/>
  <c r="CF124" i="14"/>
  <c r="CC124" i="14"/>
  <c r="J500" i="10" s="1"/>
  <c r="T529" i="10"/>
  <c r="S529" i="10"/>
  <c r="O529" i="10"/>
  <c r="N529" i="10"/>
  <c r="T528" i="10"/>
  <c r="S528" i="10"/>
  <c r="O528" i="10"/>
  <c r="N528" i="10"/>
  <c r="T527" i="10"/>
  <c r="S527" i="10"/>
  <c r="O527" i="10"/>
  <c r="N527" i="10"/>
  <c r="T526" i="10"/>
  <c r="S526" i="10"/>
  <c r="O526" i="10"/>
  <c r="N526" i="10"/>
  <c r="T525" i="10"/>
  <c r="S525" i="10"/>
  <c r="O525" i="10"/>
  <c r="N525" i="10"/>
  <c r="T521" i="10"/>
  <c r="S521" i="10"/>
  <c r="O521" i="10"/>
  <c r="N521" i="10"/>
  <c r="T520" i="10"/>
  <c r="S520" i="10"/>
  <c r="O520" i="10"/>
  <c r="N520" i="10"/>
  <c r="T519" i="10"/>
  <c r="S519" i="10"/>
  <c r="O519" i="10"/>
  <c r="N519" i="10"/>
  <c r="T518" i="10"/>
  <c r="S518" i="10"/>
  <c r="O518" i="10"/>
  <c r="N518" i="10"/>
  <c r="T517" i="10"/>
  <c r="S517" i="10"/>
  <c r="O517" i="10"/>
  <c r="N517" i="10"/>
  <c r="T513" i="10"/>
  <c r="S513" i="10"/>
  <c r="O513" i="10"/>
  <c r="N513" i="10"/>
  <c r="T512" i="10"/>
  <c r="S512" i="10"/>
  <c r="O512" i="10"/>
  <c r="N512" i="10"/>
  <c r="T511" i="10"/>
  <c r="S511" i="10"/>
  <c r="O511" i="10"/>
  <c r="N511" i="10"/>
  <c r="T510" i="10"/>
  <c r="S510" i="10"/>
  <c r="O510" i="10"/>
  <c r="N510" i="10"/>
  <c r="T509" i="10"/>
  <c r="S509" i="10"/>
  <c r="O509" i="10"/>
  <c r="N509" i="10"/>
  <c r="T505" i="10"/>
  <c r="S505" i="10"/>
  <c r="S497" i="10" s="1"/>
  <c r="O505" i="10"/>
  <c r="N505" i="10"/>
  <c r="N497" i="10" s="1"/>
  <c r="T504" i="10"/>
  <c r="T496" i="10" s="1"/>
  <c r="S504" i="10"/>
  <c r="S496" i="10" s="1"/>
  <c r="O504" i="10"/>
  <c r="O496" i="10" s="1"/>
  <c r="N504" i="10"/>
  <c r="T503" i="10"/>
  <c r="S503" i="10"/>
  <c r="O503" i="10"/>
  <c r="N503" i="10"/>
  <c r="T502" i="10"/>
  <c r="T494" i="10" s="1"/>
  <c r="S502" i="10"/>
  <c r="S494" i="10" s="1"/>
  <c r="O502" i="10"/>
  <c r="O494" i="10" s="1"/>
  <c r="N502" i="10"/>
  <c r="T501" i="10"/>
  <c r="S501" i="10"/>
  <c r="O501" i="10"/>
  <c r="N501" i="10"/>
  <c r="N493" i="10" s="1"/>
  <c r="T500" i="10"/>
  <c r="T508" i="10"/>
  <c r="T516" i="10"/>
  <c r="T524" i="10"/>
  <c r="S524" i="10"/>
  <c r="S516" i="10"/>
  <c r="S508" i="10"/>
  <c r="S500" i="10"/>
  <c r="O524" i="10"/>
  <c r="N524" i="10"/>
  <c r="O516" i="10"/>
  <c r="N516" i="10"/>
  <c r="O508" i="10"/>
  <c r="N508" i="10"/>
  <c r="O500" i="10"/>
  <c r="N500" i="10"/>
  <c r="AQ153" i="14"/>
  <c r="M529" i="10"/>
  <c r="L529" i="10"/>
  <c r="K529" i="10"/>
  <c r="I529" i="10"/>
  <c r="H529" i="10"/>
  <c r="G529" i="10"/>
  <c r="F529" i="10"/>
  <c r="E529" i="10"/>
  <c r="D529" i="10"/>
  <c r="C529" i="10"/>
  <c r="B529" i="10"/>
  <c r="M528" i="10"/>
  <c r="L528" i="10"/>
  <c r="K528" i="10"/>
  <c r="I528" i="10"/>
  <c r="H528" i="10"/>
  <c r="G528" i="10"/>
  <c r="F528" i="10"/>
  <c r="E528" i="10"/>
  <c r="D528" i="10"/>
  <c r="C528" i="10"/>
  <c r="B528" i="10"/>
  <c r="L527" i="10"/>
  <c r="K527" i="10"/>
  <c r="J527" i="10"/>
  <c r="I527" i="10"/>
  <c r="H527" i="10"/>
  <c r="G527" i="10"/>
  <c r="F527" i="10"/>
  <c r="E527" i="10"/>
  <c r="D527" i="10"/>
  <c r="C527" i="10"/>
  <c r="B527" i="10"/>
  <c r="M526" i="10"/>
  <c r="L526" i="10"/>
  <c r="K526" i="10"/>
  <c r="J526" i="10"/>
  <c r="I526" i="10"/>
  <c r="H526" i="10"/>
  <c r="G526" i="10"/>
  <c r="F526" i="10"/>
  <c r="E526" i="10"/>
  <c r="D526" i="10"/>
  <c r="C526" i="10"/>
  <c r="B526" i="10"/>
  <c r="M525" i="10"/>
  <c r="L525" i="10"/>
  <c r="K525" i="10"/>
  <c r="J525" i="10"/>
  <c r="I525" i="10"/>
  <c r="H525" i="10"/>
  <c r="G525" i="10"/>
  <c r="F525" i="10"/>
  <c r="E525" i="10"/>
  <c r="D525" i="10"/>
  <c r="C525" i="10"/>
  <c r="B525" i="10"/>
  <c r="B524" i="10"/>
  <c r="C524" i="10"/>
  <c r="D524" i="10"/>
  <c r="E524" i="10"/>
  <c r="F524" i="10"/>
  <c r="G524" i="10"/>
  <c r="H524" i="10"/>
  <c r="I524" i="10"/>
  <c r="J524" i="10"/>
  <c r="K524" i="10"/>
  <c r="L524" i="10"/>
  <c r="M524" i="10"/>
  <c r="M521" i="10"/>
  <c r="L521" i="10"/>
  <c r="H521" i="10"/>
  <c r="G521" i="10"/>
  <c r="F521" i="10"/>
  <c r="E521" i="10"/>
  <c r="D521" i="10"/>
  <c r="C521" i="10"/>
  <c r="B521" i="10"/>
  <c r="M520" i="10"/>
  <c r="L520" i="10"/>
  <c r="I520" i="10"/>
  <c r="H520" i="10"/>
  <c r="G520" i="10"/>
  <c r="F520" i="10"/>
  <c r="E520" i="10"/>
  <c r="D520" i="10"/>
  <c r="C520" i="10"/>
  <c r="B520" i="10"/>
  <c r="M519" i="10"/>
  <c r="L519" i="10"/>
  <c r="J519" i="10"/>
  <c r="H519" i="10"/>
  <c r="G519" i="10"/>
  <c r="F519" i="10"/>
  <c r="E519" i="10"/>
  <c r="D519" i="10"/>
  <c r="C519" i="10"/>
  <c r="B519" i="10"/>
  <c r="M518" i="10"/>
  <c r="L518" i="10"/>
  <c r="J518" i="10"/>
  <c r="I518" i="10"/>
  <c r="H518" i="10"/>
  <c r="G518" i="10"/>
  <c r="F518" i="10"/>
  <c r="E518" i="10"/>
  <c r="D518" i="10"/>
  <c r="C518" i="10"/>
  <c r="B518" i="10"/>
  <c r="M517" i="10"/>
  <c r="L517" i="10"/>
  <c r="J517" i="10"/>
  <c r="I517" i="10"/>
  <c r="H517" i="10"/>
  <c r="G517" i="10"/>
  <c r="F517" i="10"/>
  <c r="E517" i="10"/>
  <c r="D517" i="10"/>
  <c r="C517" i="10"/>
  <c r="B517" i="10"/>
  <c r="M513" i="10"/>
  <c r="L513" i="10"/>
  <c r="K513" i="10"/>
  <c r="I513" i="10"/>
  <c r="H513" i="10"/>
  <c r="G513" i="10"/>
  <c r="F513" i="10"/>
  <c r="E513" i="10"/>
  <c r="D513" i="10"/>
  <c r="C513" i="10"/>
  <c r="B513" i="10"/>
  <c r="M512" i="10"/>
  <c r="L512" i="10"/>
  <c r="K512" i="10"/>
  <c r="I512" i="10"/>
  <c r="H512" i="10"/>
  <c r="G512" i="10"/>
  <c r="F512" i="10"/>
  <c r="E512" i="10"/>
  <c r="D512" i="10"/>
  <c r="C512" i="10"/>
  <c r="B512" i="10"/>
  <c r="M511" i="10"/>
  <c r="L511" i="10"/>
  <c r="K511" i="10"/>
  <c r="J511" i="10"/>
  <c r="I511" i="10"/>
  <c r="H511" i="10"/>
  <c r="G511" i="10"/>
  <c r="F511" i="10"/>
  <c r="E511" i="10"/>
  <c r="D511" i="10"/>
  <c r="C511" i="10"/>
  <c r="B511" i="10"/>
  <c r="M510" i="10"/>
  <c r="L510" i="10"/>
  <c r="K510" i="10"/>
  <c r="J510" i="10"/>
  <c r="I510" i="10"/>
  <c r="H510" i="10"/>
  <c r="G510" i="10"/>
  <c r="F510" i="10"/>
  <c r="E510" i="10"/>
  <c r="D510" i="10"/>
  <c r="C510" i="10"/>
  <c r="B510" i="10"/>
  <c r="M509" i="10"/>
  <c r="L509" i="10"/>
  <c r="K509" i="10"/>
  <c r="J509" i="10"/>
  <c r="I509" i="10"/>
  <c r="H509" i="10"/>
  <c r="G509" i="10"/>
  <c r="F509" i="10"/>
  <c r="E509" i="10"/>
  <c r="D509" i="10"/>
  <c r="C509" i="10"/>
  <c r="B509" i="10"/>
  <c r="M505" i="10"/>
  <c r="L505" i="10"/>
  <c r="K505" i="10"/>
  <c r="I505" i="10"/>
  <c r="H505" i="10"/>
  <c r="H497" i="10" s="1"/>
  <c r="G505" i="10"/>
  <c r="F505" i="10"/>
  <c r="E505" i="10"/>
  <c r="D505" i="10"/>
  <c r="C505" i="10"/>
  <c r="M504" i="10"/>
  <c r="L504" i="10"/>
  <c r="L496" i="10" s="1"/>
  <c r="K504" i="10"/>
  <c r="I504" i="10"/>
  <c r="H504" i="10"/>
  <c r="G504" i="10"/>
  <c r="F504" i="10"/>
  <c r="E504" i="10"/>
  <c r="D504" i="10"/>
  <c r="C504" i="10"/>
  <c r="M503" i="10"/>
  <c r="L503" i="10"/>
  <c r="K503" i="10"/>
  <c r="J503" i="10"/>
  <c r="I503" i="10"/>
  <c r="H503" i="10"/>
  <c r="G503" i="10"/>
  <c r="F503" i="10"/>
  <c r="E503" i="10"/>
  <c r="D503" i="10"/>
  <c r="C503" i="10"/>
  <c r="M502" i="10"/>
  <c r="L502" i="10"/>
  <c r="K502" i="10"/>
  <c r="J502" i="10"/>
  <c r="I502" i="10"/>
  <c r="H502" i="10"/>
  <c r="G502" i="10"/>
  <c r="F502" i="10"/>
  <c r="E502" i="10"/>
  <c r="D502" i="10"/>
  <c r="C502" i="10"/>
  <c r="M501" i="10"/>
  <c r="L501" i="10"/>
  <c r="K501" i="10"/>
  <c r="J501" i="10"/>
  <c r="I501" i="10"/>
  <c r="H501" i="10"/>
  <c r="G501" i="10"/>
  <c r="F501" i="10"/>
  <c r="E501" i="10"/>
  <c r="D501" i="10"/>
  <c r="C501" i="10"/>
  <c r="M516" i="10"/>
  <c r="M508" i="10"/>
  <c r="M500" i="10"/>
  <c r="L516" i="10"/>
  <c r="L508" i="10"/>
  <c r="L500" i="10"/>
  <c r="K508" i="10"/>
  <c r="K500" i="10"/>
  <c r="J516" i="10"/>
  <c r="J508" i="10"/>
  <c r="I516" i="10"/>
  <c r="I508" i="10"/>
  <c r="I500" i="10"/>
  <c r="H516" i="10"/>
  <c r="H508" i="10"/>
  <c r="H500" i="10"/>
  <c r="G516" i="10"/>
  <c r="G508" i="10"/>
  <c r="G500" i="10"/>
  <c r="F516" i="10"/>
  <c r="F508" i="10"/>
  <c r="F500" i="10"/>
  <c r="E516" i="10"/>
  <c r="E508" i="10"/>
  <c r="E500" i="10"/>
  <c r="D516" i="10"/>
  <c r="D508" i="10"/>
  <c r="D500" i="10"/>
  <c r="C516" i="10"/>
  <c r="C508" i="10"/>
  <c r="C500" i="10"/>
  <c r="B516" i="10"/>
  <c r="B508" i="10"/>
  <c r="T489" i="10"/>
  <c r="S489" i="10"/>
  <c r="O489" i="10"/>
  <c r="N489" i="10"/>
  <c r="T488" i="10"/>
  <c r="S488" i="10"/>
  <c r="O488" i="10"/>
  <c r="N488" i="10"/>
  <c r="T487" i="10"/>
  <c r="S487" i="10"/>
  <c r="O487" i="10"/>
  <c r="N487" i="10"/>
  <c r="T486" i="10"/>
  <c r="S486" i="10"/>
  <c r="O486" i="10"/>
  <c r="N486" i="10"/>
  <c r="T485" i="10"/>
  <c r="S485" i="10"/>
  <c r="O485" i="10"/>
  <c r="N485" i="10"/>
  <c r="T481" i="10"/>
  <c r="S481" i="10"/>
  <c r="O481" i="10"/>
  <c r="N481" i="10"/>
  <c r="T480" i="10"/>
  <c r="S480" i="10"/>
  <c r="O480" i="10"/>
  <c r="N480" i="10"/>
  <c r="T479" i="10"/>
  <c r="S479" i="10"/>
  <c r="O479" i="10"/>
  <c r="N479" i="10"/>
  <c r="T478" i="10"/>
  <c r="S478" i="10"/>
  <c r="O478" i="10"/>
  <c r="N478" i="10"/>
  <c r="T477" i="10"/>
  <c r="S477" i="10"/>
  <c r="O477" i="10"/>
  <c r="N477" i="10"/>
  <c r="T473" i="10"/>
  <c r="S473" i="10"/>
  <c r="O473" i="10"/>
  <c r="N473" i="10"/>
  <c r="T472" i="10"/>
  <c r="S472" i="10"/>
  <c r="O472" i="10"/>
  <c r="N472" i="10"/>
  <c r="T471" i="10"/>
  <c r="S471" i="10"/>
  <c r="O471" i="10"/>
  <c r="N471" i="10"/>
  <c r="T470" i="10"/>
  <c r="S470" i="10"/>
  <c r="O470" i="10"/>
  <c r="N470" i="10"/>
  <c r="T469" i="10"/>
  <c r="S469" i="10"/>
  <c r="O469" i="10"/>
  <c r="N469" i="10"/>
  <c r="T465" i="10"/>
  <c r="S465" i="10"/>
  <c r="O465" i="10"/>
  <c r="O457" i="10" s="1"/>
  <c r="N465" i="10"/>
  <c r="T464" i="10"/>
  <c r="T456" i="10" s="1"/>
  <c r="S464" i="10"/>
  <c r="O464" i="10"/>
  <c r="N464" i="10"/>
  <c r="T463" i="10"/>
  <c r="S463" i="10"/>
  <c r="O463" i="10"/>
  <c r="N463" i="10"/>
  <c r="T462" i="10"/>
  <c r="T454" i="10" s="1"/>
  <c r="S462" i="10"/>
  <c r="O462" i="10"/>
  <c r="N462" i="10"/>
  <c r="N454" i="10" s="1"/>
  <c r="T461" i="10"/>
  <c r="S461" i="10"/>
  <c r="O461" i="10"/>
  <c r="O453" i="10" s="1"/>
  <c r="N461" i="10"/>
  <c r="T484" i="10"/>
  <c r="S484" i="10"/>
  <c r="T476" i="10"/>
  <c r="S476" i="10"/>
  <c r="T468" i="10"/>
  <c r="S468" i="10"/>
  <c r="T460" i="10"/>
  <c r="S460" i="10"/>
  <c r="O484" i="10"/>
  <c r="N484" i="10"/>
  <c r="O476" i="10"/>
  <c r="N476" i="10"/>
  <c r="O468" i="10"/>
  <c r="N468" i="10"/>
  <c r="O460" i="10"/>
  <c r="N460" i="10"/>
  <c r="K489" i="10"/>
  <c r="J489" i="10"/>
  <c r="I489" i="10"/>
  <c r="H489" i="10"/>
  <c r="G489" i="10"/>
  <c r="F489" i="10"/>
  <c r="E489" i="10"/>
  <c r="D489" i="10"/>
  <c r="C489" i="10"/>
  <c r="B489" i="10"/>
  <c r="K488" i="10"/>
  <c r="J488" i="10"/>
  <c r="I488" i="10"/>
  <c r="H488" i="10"/>
  <c r="G488" i="10"/>
  <c r="F488" i="10"/>
  <c r="E488" i="10"/>
  <c r="D488" i="10"/>
  <c r="C488" i="10"/>
  <c r="B488" i="10"/>
  <c r="K487" i="10"/>
  <c r="J487" i="10"/>
  <c r="I487" i="10"/>
  <c r="H487" i="10"/>
  <c r="G487" i="10"/>
  <c r="F487" i="10"/>
  <c r="E487" i="10"/>
  <c r="D487" i="10"/>
  <c r="C487" i="10"/>
  <c r="B487" i="10"/>
  <c r="K486" i="10"/>
  <c r="J486" i="10"/>
  <c r="I486" i="10"/>
  <c r="H486" i="10"/>
  <c r="G486" i="10"/>
  <c r="F486" i="10"/>
  <c r="E486" i="10"/>
  <c r="D486" i="10"/>
  <c r="C486" i="10"/>
  <c r="B486" i="10"/>
  <c r="K485" i="10"/>
  <c r="J485" i="10"/>
  <c r="I485" i="10"/>
  <c r="H485" i="10"/>
  <c r="G485" i="10"/>
  <c r="F485" i="10"/>
  <c r="E485" i="10"/>
  <c r="D485" i="10"/>
  <c r="C485" i="10"/>
  <c r="B485" i="10"/>
  <c r="K481" i="10"/>
  <c r="J481" i="10"/>
  <c r="I481" i="10"/>
  <c r="H481" i="10"/>
  <c r="G481" i="10"/>
  <c r="F481" i="10"/>
  <c r="E481" i="10"/>
  <c r="D481" i="10"/>
  <c r="C481" i="10"/>
  <c r="B481" i="10"/>
  <c r="K480" i="10"/>
  <c r="J480" i="10"/>
  <c r="I480" i="10"/>
  <c r="H480" i="10"/>
  <c r="G480" i="10"/>
  <c r="F480" i="10"/>
  <c r="E480" i="10"/>
  <c r="D480" i="10"/>
  <c r="C480" i="10"/>
  <c r="B480" i="10"/>
  <c r="K479" i="10"/>
  <c r="J479" i="10"/>
  <c r="I479" i="10"/>
  <c r="H479" i="10"/>
  <c r="G479" i="10"/>
  <c r="F479" i="10"/>
  <c r="E479" i="10"/>
  <c r="D479" i="10"/>
  <c r="C479" i="10"/>
  <c r="B479" i="10"/>
  <c r="K478" i="10"/>
  <c r="J478" i="10"/>
  <c r="I478" i="10"/>
  <c r="H478" i="10"/>
  <c r="G478" i="10"/>
  <c r="F478" i="10"/>
  <c r="E478" i="10"/>
  <c r="D478" i="10"/>
  <c r="C478" i="10"/>
  <c r="B478" i="10"/>
  <c r="K477" i="10"/>
  <c r="J477" i="10"/>
  <c r="I477" i="10"/>
  <c r="H477" i="10"/>
  <c r="G477" i="10"/>
  <c r="F477" i="10"/>
  <c r="E477" i="10"/>
  <c r="D477" i="10"/>
  <c r="C477" i="10"/>
  <c r="B477" i="10"/>
  <c r="K473" i="10"/>
  <c r="J473" i="10"/>
  <c r="I473" i="10"/>
  <c r="H473" i="10"/>
  <c r="G473" i="10"/>
  <c r="F473" i="10"/>
  <c r="E473" i="10"/>
  <c r="D473" i="10"/>
  <c r="C473" i="10"/>
  <c r="B473" i="10"/>
  <c r="K472" i="10"/>
  <c r="J472" i="10"/>
  <c r="I472" i="10"/>
  <c r="H472" i="10"/>
  <c r="G472" i="10"/>
  <c r="F472" i="10"/>
  <c r="E472" i="10"/>
  <c r="D472" i="10"/>
  <c r="C472" i="10"/>
  <c r="B472" i="10"/>
  <c r="K471" i="10"/>
  <c r="J471" i="10"/>
  <c r="I471" i="10"/>
  <c r="H471" i="10"/>
  <c r="G471" i="10"/>
  <c r="F471" i="10"/>
  <c r="E471" i="10"/>
  <c r="D471" i="10"/>
  <c r="C471" i="10"/>
  <c r="B471" i="10"/>
  <c r="K470" i="10"/>
  <c r="J470" i="10"/>
  <c r="I470" i="10"/>
  <c r="H470" i="10"/>
  <c r="G470" i="10"/>
  <c r="F470" i="10"/>
  <c r="E470" i="10"/>
  <c r="D470" i="10"/>
  <c r="C470" i="10"/>
  <c r="B470" i="10"/>
  <c r="K469" i="10"/>
  <c r="J469" i="10"/>
  <c r="I469" i="10"/>
  <c r="H469" i="10"/>
  <c r="G469" i="10"/>
  <c r="F469" i="10"/>
  <c r="E469" i="10"/>
  <c r="D469" i="10"/>
  <c r="C469" i="10"/>
  <c r="B469" i="10"/>
  <c r="K465" i="10"/>
  <c r="J465" i="10"/>
  <c r="I465" i="10"/>
  <c r="H465" i="10"/>
  <c r="G465" i="10"/>
  <c r="F465" i="10"/>
  <c r="E465" i="10"/>
  <c r="D465" i="10"/>
  <c r="C465" i="10"/>
  <c r="B465" i="10"/>
  <c r="K464" i="10"/>
  <c r="J464" i="10"/>
  <c r="I464" i="10"/>
  <c r="H464" i="10"/>
  <c r="G464" i="10"/>
  <c r="F464" i="10"/>
  <c r="E464" i="10"/>
  <c r="D464" i="10"/>
  <c r="C464" i="10"/>
  <c r="B464" i="10"/>
  <c r="K463" i="10"/>
  <c r="J463" i="10"/>
  <c r="I463" i="10"/>
  <c r="H463" i="10"/>
  <c r="G463" i="10"/>
  <c r="F463" i="10"/>
  <c r="E463" i="10"/>
  <c r="D463" i="10"/>
  <c r="C463" i="10"/>
  <c r="B463" i="10"/>
  <c r="K462" i="10"/>
  <c r="J462" i="10"/>
  <c r="I462" i="10"/>
  <c r="I454" i="10" s="1"/>
  <c r="H462" i="10"/>
  <c r="G462" i="10"/>
  <c r="F462" i="10"/>
  <c r="E462" i="10"/>
  <c r="D462" i="10"/>
  <c r="C462" i="10"/>
  <c r="B462" i="10"/>
  <c r="K461" i="10"/>
  <c r="J461" i="10"/>
  <c r="I461" i="10"/>
  <c r="H461" i="10"/>
  <c r="G461" i="10"/>
  <c r="F461" i="10"/>
  <c r="E461" i="10"/>
  <c r="D461" i="10"/>
  <c r="C461" i="10"/>
  <c r="B461" i="10"/>
  <c r="K484" i="10"/>
  <c r="K476" i="10"/>
  <c r="K468" i="10"/>
  <c r="K460" i="10"/>
  <c r="J484" i="10"/>
  <c r="J476" i="10"/>
  <c r="J468" i="10"/>
  <c r="J460" i="10"/>
  <c r="I484" i="10"/>
  <c r="I476" i="10"/>
  <c r="I468" i="10"/>
  <c r="I460" i="10"/>
  <c r="H484" i="10"/>
  <c r="H476" i="10"/>
  <c r="H468" i="10"/>
  <c r="H460" i="10"/>
  <c r="G484" i="10"/>
  <c r="G476" i="10"/>
  <c r="G468" i="10"/>
  <c r="G460" i="10"/>
  <c r="F484" i="10"/>
  <c r="F476" i="10"/>
  <c r="F468" i="10"/>
  <c r="F460" i="10"/>
  <c r="E484" i="10"/>
  <c r="E476" i="10"/>
  <c r="E468" i="10"/>
  <c r="E460" i="10"/>
  <c r="D484" i="10"/>
  <c r="D476" i="10"/>
  <c r="D468" i="10"/>
  <c r="D460" i="10"/>
  <c r="C484" i="10"/>
  <c r="C476" i="10"/>
  <c r="C468" i="10"/>
  <c r="C460" i="10"/>
  <c r="B484" i="10"/>
  <c r="B476" i="10"/>
  <c r="B468" i="10"/>
  <c r="B460" i="10"/>
  <c r="E457" i="10"/>
  <c r="Q409" i="10"/>
  <c r="P409" i="10"/>
  <c r="O409" i="10"/>
  <c r="N409" i="10"/>
  <c r="K409" i="10"/>
  <c r="J409" i="10"/>
  <c r="I409" i="10"/>
  <c r="I369" i="10" s="1"/>
  <c r="H409" i="10"/>
  <c r="G409" i="10"/>
  <c r="F409" i="10"/>
  <c r="C409" i="10"/>
  <c r="B409" i="10"/>
  <c r="Q408" i="10"/>
  <c r="P408" i="10"/>
  <c r="O408" i="10"/>
  <c r="N408" i="10"/>
  <c r="K408" i="10"/>
  <c r="J408" i="10"/>
  <c r="I408" i="10"/>
  <c r="H408" i="10"/>
  <c r="G408" i="10"/>
  <c r="F408" i="10"/>
  <c r="C408" i="10"/>
  <c r="B408" i="10"/>
  <c r="Q407" i="10"/>
  <c r="P407" i="10"/>
  <c r="O407" i="10"/>
  <c r="N407" i="10"/>
  <c r="K407" i="10"/>
  <c r="J407" i="10"/>
  <c r="I407" i="10"/>
  <c r="H407" i="10"/>
  <c r="G407" i="10"/>
  <c r="F407" i="10"/>
  <c r="C407" i="10"/>
  <c r="B407" i="10"/>
  <c r="Q406" i="10"/>
  <c r="P406" i="10"/>
  <c r="O406" i="10"/>
  <c r="N406" i="10"/>
  <c r="K406" i="10"/>
  <c r="J406" i="10"/>
  <c r="I406" i="10"/>
  <c r="H406" i="10"/>
  <c r="G406" i="10"/>
  <c r="F406" i="10"/>
  <c r="C406" i="10"/>
  <c r="B406" i="10"/>
  <c r="Q405" i="10"/>
  <c r="P405" i="10"/>
  <c r="O405" i="10"/>
  <c r="N405" i="10"/>
  <c r="K405" i="10"/>
  <c r="J405" i="10"/>
  <c r="I405" i="10"/>
  <c r="H405" i="10"/>
  <c r="G405" i="10"/>
  <c r="F405" i="10"/>
  <c r="C405" i="10"/>
  <c r="B405" i="10"/>
  <c r="P401" i="10"/>
  <c r="N401" i="10"/>
  <c r="K401" i="10"/>
  <c r="J401" i="10"/>
  <c r="G401" i="10"/>
  <c r="F401" i="10"/>
  <c r="E401" i="10"/>
  <c r="D401" i="10"/>
  <c r="C401" i="10"/>
  <c r="B401" i="10"/>
  <c r="Q400" i="10"/>
  <c r="P400" i="10"/>
  <c r="O400" i="10"/>
  <c r="N400" i="10"/>
  <c r="K400" i="10"/>
  <c r="J400" i="10"/>
  <c r="G400" i="10"/>
  <c r="F400" i="10"/>
  <c r="E400" i="10"/>
  <c r="D400" i="10"/>
  <c r="C400" i="10"/>
  <c r="B400" i="10"/>
  <c r="P399" i="10"/>
  <c r="N399" i="10"/>
  <c r="K399" i="10"/>
  <c r="J399" i="10"/>
  <c r="G399" i="10"/>
  <c r="F399" i="10"/>
  <c r="E399" i="10"/>
  <c r="D399" i="10"/>
  <c r="C399" i="10"/>
  <c r="B399" i="10"/>
  <c r="Q398" i="10"/>
  <c r="P398" i="10"/>
  <c r="O398" i="10"/>
  <c r="N398" i="10"/>
  <c r="K398" i="10"/>
  <c r="J398" i="10"/>
  <c r="G398" i="10"/>
  <c r="F398" i="10"/>
  <c r="E398" i="10"/>
  <c r="D398" i="10"/>
  <c r="C398" i="10"/>
  <c r="B398" i="10"/>
  <c r="Q397" i="10"/>
  <c r="P397" i="10"/>
  <c r="O397" i="10"/>
  <c r="N397" i="10"/>
  <c r="K397" i="10"/>
  <c r="J397" i="10"/>
  <c r="G397" i="10"/>
  <c r="F397" i="10"/>
  <c r="E397" i="10"/>
  <c r="D397" i="10"/>
  <c r="C397" i="10"/>
  <c r="B397" i="10"/>
  <c r="K393" i="10"/>
  <c r="J393" i="10"/>
  <c r="I393" i="10"/>
  <c r="H393" i="10"/>
  <c r="G393" i="10"/>
  <c r="F393" i="10"/>
  <c r="E393" i="10"/>
  <c r="D393" i="10"/>
  <c r="K392" i="10"/>
  <c r="J392" i="10"/>
  <c r="I392" i="10"/>
  <c r="H392" i="10"/>
  <c r="G392" i="10"/>
  <c r="F392" i="10"/>
  <c r="E392" i="10"/>
  <c r="D392" i="10"/>
  <c r="K391" i="10"/>
  <c r="J391" i="10"/>
  <c r="I391" i="10"/>
  <c r="H391" i="10"/>
  <c r="G391" i="10"/>
  <c r="F391" i="10"/>
  <c r="E391" i="10"/>
  <c r="D391" i="10"/>
  <c r="K390" i="10"/>
  <c r="J390" i="10"/>
  <c r="I390" i="10"/>
  <c r="H390" i="10"/>
  <c r="G390" i="10"/>
  <c r="F390" i="10"/>
  <c r="E390" i="10"/>
  <c r="D390" i="10"/>
  <c r="K389" i="10"/>
  <c r="J389" i="10"/>
  <c r="I389" i="10"/>
  <c r="H389" i="10"/>
  <c r="G389" i="10"/>
  <c r="F389" i="10"/>
  <c r="E389" i="10"/>
  <c r="D389" i="10"/>
  <c r="Q385" i="10"/>
  <c r="P385" i="10"/>
  <c r="O385" i="10"/>
  <c r="N385" i="10"/>
  <c r="K385" i="10"/>
  <c r="J385" i="10"/>
  <c r="I385" i="10"/>
  <c r="H385" i="10"/>
  <c r="E385" i="10"/>
  <c r="D385" i="10"/>
  <c r="C385" i="10"/>
  <c r="B385" i="10"/>
  <c r="Q384" i="10"/>
  <c r="P384" i="10"/>
  <c r="O384" i="10"/>
  <c r="N384" i="10"/>
  <c r="K384" i="10"/>
  <c r="J384" i="10"/>
  <c r="I384" i="10"/>
  <c r="H384" i="10"/>
  <c r="E384" i="10"/>
  <c r="D384" i="10"/>
  <c r="C384" i="10"/>
  <c r="C368" i="10" s="1"/>
  <c r="B384" i="10"/>
  <c r="Q383" i="10"/>
  <c r="P383" i="10"/>
  <c r="O383" i="10"/>
  <c r="N383" i="10"/>
  <c r="K383" i="10"/>
  <c r="J383" i="10"/>
  <c r="I383" i="10"/>
  <c r="H383" i="10"/>
  <c r="E383" i="10"/>
  <c r="D383" i="10"/>
  <c r="C383" i="10"/>
  <c r="B383" i="10"/>
  <c r="Q382" i="10"/>
  <c r="P382" i="10"/>
  <c r="O382" i="10"/>
  <c r="O366" i="10" s="1"/>
  <c r="N382" i="10"/>
  <c r="K382" i="10"/>
  <c r="J382" i="10"/>
  <c r="I382" i="10"/>
  <c r="H382" i="10"/>
  <c r="E382" i="10"/>
  <c r="D382" i="10"/>
  <c r="C382" i="10"/>
  <c r="C366" i="10" s="1"/>
  <c r="B382" i="10"/>
  <c r="Q381" i="10"/>
  <c r="P381" i="10"/>
  <c r="O381" i="10"/>
  <c r="N381" i="10"/>
  <c r="K381" i="10"/>
  <c r="K365" i="10" s="1"/>
  <c r="J381" i="10"/>
  <c r="I381" i="10"/>
  <c r="I365" i="10" s="1"/>
  <c r="H381" i="10"/>
  <c r="E381" i="10"/>
  <c r="D381" i="10"/>
  <c r="C381" i="10"/>
  <c r="B381" i="10"/>
  <c r="Q377" i="10"/>
  <c r="P377" i="10"/>
  <c r="O377" i="10"/>
  <c r="N377" i="10"/>
  <c r="I377" i="10"/>
  <c r="H377" i="10"/>
  <c r="G377" i="10"/>
  <c r="F377" i="10"/>
  <c r="E377" i="10"/>
  <c r="E369" i="10" s="1"/>
  <c r="D377" i="10"/>
  <c r="C377" i="10"/>
  <c r="C369" i="10" s="1"/>
  <c r="B377" i="10"/>
  <c r="B369" i="10" s="1"/>
  <c r="Q376" i="10"/>
  <c r="P376" i="10"/>
  <c r="O376" i="10"/>
  <c r="N376" i="10"/>
  <c r="I376" i="10"/>
  <c r="I368" i="10" s="1"/>
  <c r="H376" i="10"/>
  <c r="G376" i="10"/>
  <c r="F376" i="10"/>
  <c r="E376" i="10"/>
  <c r="D376" i="10"/>
  <c r="C376" i="10"/>
  <c r="B376" i="10"/>
  <c r="Q375" i="10"/>
  <c r="P375" i="10"/>
  <c r="O375" i="10"/>
  <c r="N375" i="10"/>
  <c r="I375" i="10"/>
  <c r="H375" i="10"/>
  <c r="G375" i="10"/>
  <c r="F375" i="10"/>
  <c r="E375" i="10"/>
  <c r="D375" i="10"/>
  <c r="C375" i="10"/>
  <c r="B375" i="10"/>
  <c r="Q374" i="10"/>
  <c r="P374" i="10"/>
  <c r="P366" i="10" s="1"/>
  <c r="O374" i="10"/>
  <c r="N374" i="10"/>
  <c r="I374" i="10"/>
  <c r="H374" i="10"/>
  <c r="G374" i="10"/>
  <c r="F374" i="10"/>
  <c r="E374" i="10"/>
  <c r="D374" i="10"/>
  <c r="C374" i="10"/>
  <c r="B374" i="10"/>
  <c r="Q373" i="10"/>
  <c r="Q365" i="10" s="1"/>
  <c r="P373" i="10"/>
  <c r="O373" i="10"/>
  <c r="O365" i="10" s="1"/>
  <c r="N373" i="10"/>
  <c r="N365" i="10" s="1"/>
  <c r="I373" i="10"/>
  <c r="H373" i="10"/>
  <c r="G373" i="10"/>
  <c r="F373" i="10"/>
  <c r="E373" i="10"/>
  <c r="D373" i="10"/>
  <c r="C373" i="10"/>
  <c r="C365" i="10" s="1"/>
  <c r="B373" i="10"/>
  <c r="Q372" i="10"/>
  <c r="Q396" i="10"/>
  <c r="Q380" i="10"/>
  <c r="Q404" i="10"/>
  <c r="P372" i="10"/>
  <c r="P396" i="10"/>
  <c r="P380" i="10"/>
  <c r="P404" i="10"/>
  <c r="O372" i="10"/>
  <c r="O396" i="10"/>
  <c r="O380" i="10"/>
  <c r="O404" i="10"/>
  <c r="N372" i="10"/>
  <c r="N396" i="10"/>
  <c r="N380" i="10"/>
  <c r="N404" i="10"/>
  <c r="K388" i="10"/>
  <c r="K404" i="10"/>
  <c r="K380" i="10"/>
  <c r="K396" i="10"/>
  <c r="J388" i="10"/>
  <c r="J404" i="10"/>
  <c r="J380" i="10"/>
  <c r="J396" i="10"/>
  <c r="I372" i="10"/>
  <c r="I388" i="10"/>
  <c r="I380" i="10"/>
  <c r="I404" i="10"/>
  <c r="H372" i="10"/>
  <c r="H388" i="10"/>
  <c r="H404" i="10"/>
  <c r="H380" i="10"/>
  <c r="G372" i="10"/>
  <c r="G396" i="10"/>
  <c r="G388" i="10"/>
  <c r="G404" i="10"/>
  <c r="F372" i="10"/>
  <c r="F396" i="10"/>
  <c r="F388" i="10"/>
  <c r="F404" i="10"/>
  <c r="E372" i="10"/>
  <c r="E380" i="10"/>
  <c r="E364" i="10" s="1"/>
  <c r="E388" i="10"/>
  <c r="E396" i="10"/>
  <c r="D380" i="10"/>
  <c r="D372" i="10"/>
  <c r="D388" i="10"/>
  <c r="D396" i="10"/>
  <c r="C404" i="10"/>
  <c r="C380" i="10"/>
  <c r="C396" i="10"/>
  <c r="C372" i="10"/>
  <c r="B404" i="10"/>
  <c r="B380" i="10"/>
  <c r="B396" i="10"/>
  <c r="B372" i="10"/>
  <c r="H366" i="10"/>
  <c r="G369" i="10"/>
  <c r="H368" i="10"/>
  <c r="F368" i="10"/>
  <c r="I366" i="10"/>
  <c r="U425" i="10"/>
  <c r="T425" i="10"/>
  <c r="S425" i="10"/>
  <c r="O425" i="10"/>
  <c r="N425" i="10"/>
  <c r="U424" i="10"/>
  <c r="T424" i="10"/>
  <c r="S424" i="10"/>
  <c r="O424" i="10"/>
  <c r="N424" i="10"/>
  <c r="U423" i="10"/>
  <c r="T423" i="10"/>
  <c r="S423" i="10"/>
  <c r="O423" i="10"/>
  <c r="N423" i="10"/>
  <c r="U422" i="10"/>
  <c r="T422" i="10"/>
  <c r="S422" i="10"/>
  <c r="O422" i="10"/>
  <c r="N422" i="10"/>
  <c r="U421" i="10"/>
  <c r="T421" i="10"/>
  <c r="S421" i="10"/>
  <c r="O421" i="10"/>
  <c r="N421" i="10"/>
  <c r="U433" i="10"/>
  <c r="T433" i="10"/>
  <c r="S433" i="10"/>
  <c r="O433" i="10"/>
  <c r="N433" i="10"/>
  <c r="U432" i="10"/>
  <c r="T432" i="10"/>
  <c r="S432" i="10"/>
  <c r="O432" i="10"/>
  <c r="N432" i="10"/>
  <c r="U431" i="10"/>
  <c r="T431" i="10"/>
  <c r="S431" i="10"/>
  <c r="O431" i="10"/>
  <c r="N431" i="10"/>
  <c r="U430" i="10"/>
  <c r="T430" i="10"/>
  <c r="S430" i="10"/>
  <c r="O430" i="10"/>
  <c r="N430" i="10"/>
  <c r="U429" i="10"/>
  <c r="T429" i="10"/>
  <c r="S429" i="10"/>
  <c r="O429" i="10"/>
  <c r="N429" i="10"/>
  <c r="U441" i="10"/>
  <c r="T441" i="10"/>
  <c r="S441" i="10"/>
  <c r="O441" i="10"/>
  <c r="N441" i="10"/>
  <c r="U440" i="10"/>
  <c r="T440" i="10"/>
  <c r="S440" i="10"/>
  <c r="O440" i="10"/>
  <c r="N440" i="10"/>
  <c r="U439" i="10"/>
  <c r="T439" i="10"/>
  <c r="S439" i="10"/>
  <c r="O439" i="10"/>
  <c r="N439" i="10"/>
  <c r="U438" i="10"/>
  <c r="T438" i="10"/>
  <c r="S438" i="10"/>
  <c r="O438" i="10"/>
  <c r="N438" i="10"/>
  <c r="U437" i="10"/>
  <c r="T437" i="10"/>
  <c r="S437" i="10"/>
  <c r="O437" i="10"/>
  <c r="N437" i="10"/>
  <c r="U449" i="10"/>
  <c r="T449" i="10"/>
  <c r="S449" i="10"/>
  <c r="O449" i="10"/>
  <c r="N449" i="10"/>
  <c r="U448" i="10"/>
  <c r="T448" i="10"/>
  <c r="S448" i="10"/>
  <c r="O448" i="10"/>
  <c r="N448" i="10"/>
  <c r="U447" i="10"/>
  <c r="T447" i="10"/>
  <c r="S447" i="10"/>
  <c r="O447" i="10"/>
  <c r="N447" i="10"/>
  <c r="U446" i="10"/>
  <c r="T446" i="10"/>
  <c r="S446" i="10"/>
  <c r="O446" i="10"/>
  <c r="N446" i="10"/>
  <c r="U445" i="10"/>
  <c r="T445" i="10"/>
  <c r="S445" i="10"/>
  <c r="O445" i="10"/>
  <c r="N445" i="10"/>
  <c r="U444" i="10"/>
  <c r="T444" i="10"/>
  <c r="S444" i="10"/>
  <c r="U436" i="10"/>
  <c r="T436" i="10"/>
  <c r="S436" i="10"/>
  <c r="U428" i="10"/>
  <c r="T428" i="10"/>
  <c r="S428" i="10"/>
  <c r="U420" i="10"/>
  <c r="T420" i="10"/>
  <c r="S420" i="10"/>
  <c r="O444" i="10"/>
  <c r="O436" i="10"/>
  <c r="O428" i="10"/>
  <c r="O420" i="10"/>
  <c r="N444" i="10"/>
  <c r="N436" i="10"/>
  <c r="N428" i="10"/>
  <c r="N420" i="10"/>
  <c r="K449" i="10"/>
  <c r="J449" i="10"/>
  <c r="I449" i="10"/>
  <c r="H449" i="10"/>
  <c r="G449" i="10"/>
  <c r="F449" i="10"/>
  <c r="E449" i="10"/>
  <c r="D449" i="10"/>
  <c r="C449" i="10"/>
  <c r="K448" i="10"/>
  <c r="J448" i="10"/>
  <c r="I448" i="10"/>
  <c r="H448" i="10"/>
  <c r="G448" i="10"/>
  <c r="F448" i="10"/>
  <c r="E448" i="10"/>
  <c r="D448" i="10"/>
  <c r="C448" i="10"/>
  <c r="K447" i="10"/>
  <c r="J447" i="10"/>
  <c r="I447" i="10"/>
  <c r="H447" i="10"/>
  <c r="G447" i="10"/>
  <c r="F447" i="10"/>
  <c r="E447" i="10"/>
  <c r="D447" i="10"/>
  <c r="C447" i="10"/>
  <c r="K446" i="10"/>
  <c r="J446" i="10"/>
  <c r="I446" i="10"/>
  <c r="H446" i="10"/>
  <c r="G446" i="10"/>
  <c r="F446" i="10"/>
  <c r="E446" i="10"/>
  <c r="D446" i="10"/>
  <c r="C446" i="10"/>
  <c r="K445" i="10"/>
  <c r="J445" i="10"/>
  <c r="I445" i="10"/>
  <c r="H445" i="10"/>
  <c r="G445" i="10"/>
  <c r="F445" i="10"/>
  <c r="E445" i="10"/>
  <c r="D445" i="10"/>
  <c r="C445" i="10"/>
  <c r="K441" i="10"/>
  <c r="J441" i="10"/>
  <c r="I441" i="10"/>
  <c r="H441" i="10"/>
  <c r="G441" i="10"/>
  <c r="F441" i="10"/>
  <c r="E441" i="10"/>
  <c r="D441" i="10"/>
  <c r="B441" i="10"/>
  <c r="K440" i="10"/>
  <c r="J440" i="10"/>
  <c r="I440" i="10"/>
  <c r="H440" i="10"/>
  <c r="G440" i="10"/>
  <c r="F440" i="10"/>
  <c r="E440" i="10"/>
  <c r="D440" i="10"/>
  <c r="B440" i="10"/>
  <c r="K439" i="10"/>
  <c r="J439" i="10"/>
  <c r="I439" i="10"/>
  <c r="H439" i="10"/>
  <c r="G439" i="10"/>
  <c r="F439" i="10"/>
  <c r="E439" i="10"/>
  <c r="D439" i="10"/>
  <c r="C439" i="10"/>
  <c r="B439" i="10"/>
  <c r="K438" i="10"/>
  <c r="J438" i="10"/>
  <c r="I438" i="10"/>
  <c r="H438" i="10"/>
  <c r="G438" i="10"/>
  <c r="F438" i="10"/>
  <c r="E438" i="10"/>
  <c r="D438" i="10"/>
  <c r="C438" i="10"/>
  <c r="B438" i="10"/>
  <c r="K437" i="10"/>
  <c r="J437" i="10"/>
  <c r="I437" i="10"/>
  <c r="H437" i="10"/>
  <c r="G437" i="10"/>
  <c r="F437" i="10"/>
  <c r="E437" i="10"/>
  <c r="D437" i="10"/>
  <c r="C437" i="10"/>
  <c r="B437" i="10"/>
  <c r="K433" i="10"/>
  <c r="J433" i="10"/>
  <c r="I433" i="10"/>
  <c r="H433" i="10"/>
  <c r="G433" i="10"/>
  <c r="F433" i="10"/>
  <c r="E433" i="10"/>
  <c r="D433" i="10"/>
  <c r="C433" i="10"/>
  <c r="B433" i="10"/>
  <c r="K432" i="10"/>
  <c r="J432" i="10"/>
  <c r="I432" i="10"/>
  <c r="H432" i="10"/>
  <c r="G432" i="10"/>
  <c r="F432" i="10"/>
  <c r="E432" i="10"/>
  <c r="D432" i="10"/>
  <c r="C432" i="10"/>
  <c r="B432" i="10"/>
  <c r="K431" i="10"/>
  <c r="J431" i="10"/>
  <c r="I431" i="10"/>
  <c r="H431" i="10"/>
  <c r="G431" i="10"/>
  <c r="F431" i="10"/>
  <c r="E431" i="10"/>
  <c r="D431" i="10"/>
  <c r="C431" i="10"/>
  <c r="B431" i="10"/>
  <c r="K430" i="10"/>
  <c r="J430" i="10"/>
  <c r="I430" i="10"/>
  <c r="H430" i="10"/>
  <c r="G430" i="10"/>
  <c r="F430" i="10"/>
  <c r="E430" i="10"/>
  <c r="D430" i="10"/>
  <c r="C430" i="10"/>
  <c r="B430" i="10"/>
  <c r="K429" i="10"/>
  <c r="J429" i="10"/>
  <c r="I429" i="10"/>
  <c r="H429" i="10"/>
  <c r="G429" i="10"/>
  <c r="F429" i="10"/>
  <c r="E429" i="10"/>
  <c r="D429" i="10"/>
  <c r="C429" i="10"/>
  <c r="B429" i="10"/>
  <c r="K425" i="10"/>
  <c r="J425" i="10"/>
  <c r="I425" i="10"/>
  <c r="H425" i="10"/>
  <c r="G425" i="10"/>
  <c r="F425" i="10"/>
  <c r="E425" i="10"/>
  <c r="D425" i="10"/>
  <c r="C425" i="10"/>
  <c r="B425" i="10"/>
  <c r="K424" i="10"/>
  <c r="J424" i="10"/>
  <c r="I424" i="10"/>
  <c r="H424" i="10"/>
  <c r="G424" i="10"/>
  <c r="F424" i="10"/>
  <c r="E424" i="10"/>
  <c r="D424" i="10"/>
  <c r="C424" i="10"/>
  <c r="B424" i="10"/>
  <c r="K423" i="10"/>
  <c r="J423" i="10"/>
  <c r="I423" i="10"/>
  <c r="H423" i="10"/>
  <c r="G423" i="10"/>
  <c r="F423" i="10"/>
  <c r="E423" i="10"/>
  <c r="D423" i="10"/>
  <c r="C423" i="10"/>
  <c r="B423" i="10"/>
  <c r="K422" i="10"/>
  <c r="J422" i="10"/>
  <c r="I422" i="10"/>
  <c r="H422" i="10"/>
  <c r="G422" i="10"/>
  <c r="F422" i="10"/>
  <c r="E422" i="10"/>
  <c r="D422" i="10"/>
  <c r="C422" i="10"/>
  <c r="B422" i="10"/>
  <c r="K421" i="10"/>
  <c r="J421" i="10"/>
  <c r="I421" i="10"/>
  <c r="H421" i="10"/>
  <c r="G421" i="10"/>
  <c r="F421" i="10"/>
  <c r="E421" i="10"/>
  <c r="D421" i="10"/>
  <c r="C421" i="10"/>
  <c r="B421" i="10"/>
  <c r="K444" i="10"/>
  <c r="K436" i="10"/>
  <c r="K428" i="10"/>
  <c r="K420" i="10"/>
  <c r="J444" i="10"/>
  <c r="J436" i="10"/>
  <c r="J428" i="10"/>
  <c r="J420" i="10"/>
  <c r="I444" i="10"/>
  <c r="I436" i="10"/>
  <c r="I428" i="10"/>
  <c r="I420" i="10"/>
  <c r="H444" i="10"/>
  <c r="H436" i="10"/>
  <c r="H428" i="10"/>
  <c r="H420" i="10"/>
  <c r="G444" i="10"/>
  <c r="G436" i="10"/>
  <c r="G428" i="10"/>
  <c r="G420" i="10"/>
  <c r="F444" i="10"/>
  <c r="F436" i="10"/>
  <c r="F428" i="10"/>
  <c r="F420" i="10"/>
  <c r="E444" i="10"/>
  <c r="E436" i="10"/>
  <c r="E428" i="10"/>
  <c r="E420" i="10"/>
  <c r="D444" i="10"/>
  <c r="D436" i="10"/>
  <c r="D428" i="10"/>
  <c r="D420" i="10"/>
  <c r="C444" i="10"/>
  <c r="C436" i="10"/>
  <c r="C428" i="10"/>
  <c r="C420" i="10"/>
  <c r="B436" i="10"/>
  <c r="B428" i="10"/>
  <c r="B420" i="10"/>
  <c r="R361" i="10"/>
  <c r="Q361" i="10"/>
  <c r="P361" i="10"/>
  <c r="O361" i="10"/>
  <c r="N361" i="10"/>
  <c r="R360" i="10"/>
  <c r="Q360" i="10"/>
  <c r="P360" i="10"/>
  <c r="O360" i="10"/>
  <c r="N360" i="10"/>
  <c r="R359" i="10"/>
  <c r="Q359" i="10"/>
  <c r="P359" i="10"/>
  <c r="O359" i="10"/>
  <c r="N359" i="10"/>
  <c r="R358" i="10"/>
  <c r="Q358" i="10"/>
  <c r="P358" i="10"/>
  <c r="O358" i="10"/>
  <c r="N358" i="10"/>
  <c r="R357" i="10"/>
  <c r="Q357" i="10"/>
  <c r="P357" i="10"/>
  <c r="O357" i="10"/>
  <c r="N357" i="10"/>
  <c r="R353" i="10"/>
  <c r="Q353" i="10"/>
  <c r="P353" i="10"/>
  <c r="O353" i="10"/>
  <c r="N353" i="10"/>
  <c r="R352" i="10"/>
  <c r="Q352" i="10"/>
  <c r="P352" i="10"/>
  <c r="O352" i="10"/>
  <c r="N352" i="10"/>
  <c r="R351" i="10"/>
  <c r="Q351" i="10"/>
  <c r="P351" i="10"/>
  <c r="O351" i="10"/>
  <c r="N351" i="10"/>
  <c r="R350" i="10"/>
  <c r="Q350" i="10"/>
  <c r="P350" i="10"/>
  <c r="O350" i="10"/>
  <c r="N350" i="10"/>
  <c r="R349" i="10"/>
  <c r="Q349" i="10"/>
  <c r="P349" i="10"/>
  <c r="O349" i="10"/>
  <c r="N349" i="10"/>
  <c r="R345" i="10"/>
  <c r="Q345" i="10"/>
  <c r="P345" i="10"/>
  <c r="O345" i="10"/>
  <c r="N345" i="10"/>
  <c r="R344" i="10"/>
  <c r="Q344" i="10"/>
  <c r="P344" i="10"/>
  <c r="O344" i="10"/>
  <c r="N344" i="10"/>
  <c r="R343" i="10"/>
  <c r="Q343" i="10"/>
  <c r="P343" i="10"/>
  <c r="O343" i="10"/>
  <c r="N343" i="10"/>
  <c r="R342" i="10"/>
  <c r="Q342" i="10"/>
  <c r="P342" i="10"/>
  <c r="O342" i="10"/>
  <c r="N342" i="10"/>
  <c r="R341" i="10"/>
  <c r="Q341" i="10"/>
  <c r="P341" i="10"/>
  <c r="O341" i="10"/>
  <c r="N341" i="10"/>
  <c r="R337" i="10"/>
  <c r="Q337" i="10"/>
  <c r="P337" i="10"/>
  <c r="O337" i="10"/>
  <c r="N337" i="10"/>
  <c r="R336" i="10"/>
  <c r="Q336" i="10"/>
  <c r="P336" i="10"/>
  <c r="O336" i="10"/>
  <c r="N336" i="10"/>
  <c r="R335" i="10"/>
  <c r="Q335" i="10"/>
  <c r="P335" i="10"/>
  <c r="O335" i="10"/>
  <c r="N335" i="10"/>
  <c r="R334" i="10"/>
  <c r="Q334" i="10"/>
  <c r="P334" i="10"/>
  <c r="O334" i="10"/>
  <c r="N334" i="10"/>
  <c r="R333" i="10"/>
  <c r="Q333" i="10"/>
  <c r="P333" i="10"/>
  <c r="O333" i="10"/>
  <c r="N333" i="10"/>
  <c r="R356" i="10"/>
  <c r="R348" i="10"/>
  <c r="R340" i="10"/>
  <c r="Q356" i="10"/>
  <c r="P356" i="10"/>
  <c r="O356" i="10"/>
  <c r="N356" i="10"/>
  <c r="Q348" i="10"/>
  <c r="P348" i="10"/>
  <c r="O348" i="10"/>
  <c r="N348" i="10"/>
  <c r="Q340" i="10"/>
  <c r="P340" i="10"/>
  <c r="O340" i="10"/>
  <c r="N340" i="10"/>
  <c r="R332" i="10"/>
  <c r="Q332" i="10"/>
  <c r="P332" i="10"/>
  <c r="O332" i="10"/>
  <c r="N332" i="10"/>
  <c r="K361" i="10"/>
  <c r="J361" i="10"/>
  <c r="I361" i="10"/>
  <c r="H361" i="10"/>
  <c r="G361" i="10"/>
  <c r="F361" i="10"/>
  <c r="E361" i="10"/>
  <c r="D361" i="10"/>
  <c r="C361" i="10"/>
  <c r="B361" i="10"/>
  <c r="K360" i="10"/>
  <c r="J360" i="10"/>
  <c r="I360" i="10"/>
  <c r="H360" i="10"/>
  <c r="G360" i="10"/>
  <c r="F360" i="10"/>
  <c r="E360" i="10"/>
  <c r="D360" i="10"/>
  <c r="C360" i="10"/>
  <c r="B360" i="10"/>
  <c r="K359" i="10"/>
  <c r="J359" i="10"/>
  <c r="I359" i="10"/>
  <c r="H359" i="10"/>
  <c r="G359" i="10"/>
  <c r="F359" i="10"/>
  <c r="E359" i="10"/>
  <c r="D359" i="10"/>
  <c r="C359" i="10"/>
  <c r="B359" i="10"/>
  <c r="K358" i="10"/>
  <c r="J358" i="10"/>
  <c r="I358" i="10"/>
  <c r="H358" i="10"/>
  <c r="G358" i="10"/>
  <c r="F358" i="10"/>
  <c r="E358" i="10"/>
  <c r="D358" i="10"/>
  <c r="C358" i="10"/>
  <c r="B358" i="10"/>
  <c r="K357" i="10"/>
  <c r="J357" i="10"/>
  <c r="I357" i="10"/>
  <c r="H357" i="10"/>
  <c r="G357" i="10"/>
  <c r="F357" i="10"/>
  <c r="E357" i="10"/>
  <c r="D357" i="10"/>
  <c r="C357" i="10"/>
  <c r="B357" i="10"/>
  <c r="K353" i="10"/>
  <c r="J353" i="10"/>
  <c r="I353" i="10"/>
  <c r="H353" i="10"/>
  <c r="G353" i="10"/>
  <c r="F353" i="10"/>
  <c r="E353" i="10"/>
  <c r="D353" i="10"/>
  <c r="C353" i="10"/>
  <c r="B353" i="10"/>
  <c r="K352" i="10"/>
  <c r="J352" i="10"/>
  <c r="I352" i="10"/>
  <c r="H352" i="10"/>
  <c r="G352" i="10"/>
  <c r="F352" i="10"/>
  <c r="E352" i="10"/>
  <c r="D352" i="10"/>
  <c r="C352" i="10"/>
  <c r="B352" i="10"/>
  <c r="K351" i="10"/>
  <c r="J351" i="10"/>
  <c r="I351" i="10"/>
  <c r="H351" i="10"/>
  <c r="G351" i="10"/>
  <c r="F351" i="10"/>
  <c r="E351" i="10"/>
  <c r="D351" i="10"/>
  <c r="C351" i="10"/>
  <c r="B351" i="10"/>
  <c r="K350" i="10"/>
  <c r="J350" i="10"/>
  <c r="I350" i="10"/>
  <c r="H350" i="10"/>
  <c r="G350" i="10"/>
  <c r="F350" i="10"/>
  <c r="E350" i="10"/>
  <c r="D350" i="10"/>
  <c r="C350" i="10"/>
  <c r="B350" i="10"/>
  <c r="K349" i="10"/>
  <c r="J349" i="10"/>
  <c r="I349" i="10"/>
  <c r="H349" i="10"/>
  <c r="G349" i="10"/>
  <c r="F349" i="10"/>
  <c r="E349" i="10"/>
  <c r="D349" i="10"/>
  <c r="C349" i="10"/>
  <c r="B349" i="10"/>
  <c r="K345" i="10"/>
  <c r="J345" i="10"/>
  <c r="I345" i="10"/>
  <c r="H345" i="10"/>
  <c r="G345" i="10"/>
  <c r="F345" i="10"/>
  <c r="E345" i="10"/>
  <c r="D345" i="10"/>
  <c r="C345" i="10"/>
  <c r="B345" i="10"/>
  <c r="K344" i="10"/>
  <c r="J344" i="10"/>
  <c r="I344" i="10"/>
  <c r="H344" i="10"/>
  <c r="G344" i="10"/>
  <c r="F344" i="10"/>
  <c r="E344" i="10"/>
  <c r="D344" i="10"/>
  <c r="C344" i="10"/>
  <c r="B344" i="10"/>
  <c r="K343" i="10"/>
  <c r="J343" i="10"/>
  <c r="I343" i="10"/>
  <c r="H343" i="10"/>
  <c r="G343" i="10"/>
  <c r="F343" i="10"/>
  <c r="E343" i="10"/>
  <c r="D343" i="10"/>
  <c r="C343" i="10"/>
  <c r="B343" i="10"/>
  <c r="K342" i="10"/>
  <c r="J342" i="10"/>
  <c r="I342" i="10"/>
  <c r="H342" i="10"/>
  <c r="G342" i="10"/>
  <c r="F342" i="10"/>
  <c r="E342" i="10"/>
  <c r="D342" i="10"/>
  <c r="C342" i="10"/>
  <c r="B342" i="10"/>
  <c r="K341" i="10"/>
  <c r="J341" i="10"/>
  <c r="I341" i="10"/>
  <c r="H341" i="10"/>
  <c r="G341" i="10"/>
  <c r="F341" i="10"/>
  <c r="E341" i="10"/>
  <c r="D341" i="10"/>
  <c r="C341" i="10"/>
  <c r="B341" i="10"/>
  <c r="K337" i="10"/>
  <c r="J337" i="10"/>
  <c r="I337" i="10"/>
  <c r="H337" i="10"/>
  <c r="G337" i="10"/>
  <c r="E337" i="10"/>
  <c r="D337" i="10"/>
  <c r="C337" i="10"/>
  <c r="B337" i="10"/>
  <c r="K336" i="10"/>
  <c r="J336" i="10"/>
  <c r="I336" i="10"/>
  <c r="H336" i="10"/>
  <c r="G336" i="10"/>
  <c r="E336" i="10"/>
  <c r="D336" i="10"/>
  <c r="C336" i="10"/>
  <c r="B336" i="10"/>
  <c r="K335" i="10"/>
  <c r="J335" i="10"/>
  <c r="I335" i="10"/>
  <c r="H335" i="10"/>
  <c r="G335" i="10"/>
  <c r="E335" i="10"/>
  <c r="D335" i="10"/>
  <c r="C335" i="10"/>
  <c r="B335" i="10"/>
  <c r="K334" i="10"/>
  <c r="J334" i="10"/>
  <c r="I334" i="10"/>
  <c r="H334" i="10"/>
  <c r="G334" i="10"/>
  <c r="E334" i="10"/>
  <c r="D334" i="10"/>
  <c r="C334" i="10"/>
  <c r="B334" i="10"/>
  <c r="K333" i="10"/>
  <c r="J333" i="10"/>
  <c r="I333" i="10"/>
  <c r="H333" i="10"/>
  <c r="G333" i="10"/>
  <c r="E333" i="10"/>
  <c r="D333" i="10"/>
  <c r="C333" i="10"/>
  <c r="B333" i="10"/>
  <c r="K356" i="10"/>
  <c r="K348" i="10"/>
  <c r="K340" i="10"/>
  <c r="K332" i="10"/>
  <c r="J356" i="10"/>
  <c r="J348" i="10"/>
  <c r="J340" i="10"/>
  <c r="J332" i="10"/>
  <c r="I356" i="10"/>
  <c r="I348" i="10"/>
  <c r="I340" i="10"/>
  <c r="I332" i="10"/>
  <c r="H356" i="10"/>
  <c r="H348" i="10"/>
  <c r="H340" i="10"/>
  <c r="H332" i="10"/>
  <c r="G356" i="10"/>
  <c r="G348" i="10"/>
  <c r="G340" i="10"/>
  <c r="G332" i="10"/>
  <c r="F356" i="10"/>
  <c r="F348" i="10"/>
  <c r="F340" i="10"/>
  <c r="E356" i="10"/>
  <c r="E348" i="10"/>
  <c r="E340" i="10"/>
  <c r="E332" i="10"/>
  <c r="D356" i="10"/>
  <c r="D348" i="10"/>
  <c r="D340" i="10"/>
  <c r="D332" i="10"/>
  <c r="C356" i="10"/>
  <c r="C348" i="10"/>
  <c r="C340" i="10"/>
  <c r="C332" i="10"/>
  <c r="B356" i="10"/>
  <c r="B348" i="10"/>
  <c r="B340" i="10"/>
  <c r="B332" i="10"/>
  <c r="Z281" i="10"/>
  <c r="Y281" i="10"/>
  <c r="X281" i="10"/>
  <c r="P281" i="10"/>
  <c r="O281" i="10"/>
  <c r="N281" i="10"/>
  <c r="Z280" i="10"/>
  <c r="Y280" i="10"/>
  <c r="X280" i="10"/>
  <c r="P280" i="10"/>
  <c r="O280" i="10"/>
  <c r="N280" i="10"/>
  <c r="Z279" i="10"/>
  <c r="Y279" i="10"/>
  <c r="X279" i="10"/>
  <c r="P279" i="10"/>
  <c r="O279" i="10"/>
  <c r="N279" i="10"/>
  <c r="Z278" i="10"/>
  <c r="Y278" i="10"/>
  <c r="X278" i="10"/>
  <c r="P278" i="10"/>
  <c r="O278" i="10"/>
  <c r="N278" i="10"/>
  <c r="Z277" i="10"/>
  <c r="Y277" i="10"/>
  <c r="X277" i="10"/>
  <c r="P277" i="10"/>
  <c r="O277" i="10"/>
  <c r="N277" i="10"/>
  <c r="Z273" i="10"/>
  <c r="X273" i="10"/>
  <c r="P273" i="10"/>
  <c r="O273" i="10"/>
  <c r="N273" i="10"/>
  <c r="Z272" i="10"/>
  <c r="X272" i="10"/>
  <c r="P272" i="10"/>
  <c r="O272" i="10"/>
  <c r="N272" i="10"/>
  <c r="Z271" i="10"/>
  <c r="X271" i="10"/>
  <c r="P271" i="10"/>
  <c r="O271" i="10"/>
  <c r="N271" i="10"/>
  <c r="Z270" i="10"/>
  <c r="X270" i="10"/>
  <c r="P270" i="10"/>
  <c r="O270" i="10"/>
  <c r="N270" i="10"/>
  <c r="Z269" i="10"/>
  <c r="X269" i="10"/>
  <c r="P269" i="10"/>
  <c r="O269" i="10"/>
  <c r="N269" i="10"/>
  <c r="Z265" i="10"/>
  <c r="Y265" i="10"/>
  <c r="X265" i="10"/>
  <c r="P265" i="10"/>
  <c r="N265" i="10"/>
  <c r="Z264" i="10"/>
  <c r="Y264" i="10"/>
  <c r="X264" i="10"/>
  <c r="P264" i="10"/>
  <c r="N264" i="10"/>
  <c r="Z263" i="10"/>
  <c r="Y263" i="10"/>
  <c r="X263" i="10"/>
  <c r="P263" i="10"/>
  <c r="N263" i="10"/>
  <c r="Z262" i="10"/>
  <c r="Y262" i="10"/>
  <c r="X262" i="10"/>
  <c r="P262" i="10"/>
  <c r="N262" i="10"/>
  <c r="Z261" i="10"/>
  <c r="Y261" i="10"/>
  <c r="X261" i="10"/>
  <c r="P261" i="10"/>
  <c r="N261" i="10"/>
  <c r="Y257" i="10"/>
  <c r="O257" i="10"/>
  <c r="N257" i="10"/>
  <c r="Y256" i="10"/>
  <c r="O256" i="10"/>
  <c r="N256" i="10"/>
  <c r="Y255" i="10"/>
  <c r="O255" i="10"/>
  <c r="N255" i="10"/>
  <c r="Y254" i="10"/>
  <c r="O254" i="10"/>
  <c r="N254" i="10"/>
  <c r="Y253" i="10"/>
  <c r="O253" i="10"/>
  <c r="N253" i="10"/>
  <c r="Z249" i="10"/>
  <c r="Y249" i="10"/>
  <c r="P249" i="10"/>
  <c r="O249" i="10"/>
  <c r="Z248" i="10"/>
  <c r="Y248" i="10"/>
  <c r="P248" i="10"/>
  <c r="O248" i="10"/>
  <c r="Z247" i="10"/>
  <c r="Y247" i="10"/>
  <c r="X247" i="10"/>
  <c r="P247" i="10"/>
  <c r="O247" i="10"/>
  <c r="Z246" i="10"/>
  <c r="Y246" i="10"/>
  <c r="X246" i="10"/>
  <c r="P246" i="10"/>
  <c r="O246" i="10"/>
  <c r="Z245" i="10"/>
  <c r="Y245" i="10"/>
  <c r="X245" i="10"/>
  <c r="P245" i="10"/>
  <c r="O245" i="10"/>
  <c r="Z260" i="10"/>
  <c r="Z276" i="10"/>
  <c r="Z268" i="10"/>
  <c r="Z244" i="10"/>
  <c r="Y244" i="10"/>
  <c r="Y260" i="10"/>
  <c r="Y276" i="10"/>
  <c r="Y252" i="10"/>
  <c r="X260" i="10"/>
  <c r="X268" i="10"/>
  <c r="X276" i="10"/>
  <c r="X244" i="10"/>
  <c r="P276" i="10"/>
  <c r="P268" i="10"/>
  <c r="P244" i="10"/>
  <c r="P260" i="10"/>
  <c r="O276" i="10"/>
  <c r="O268" i="10"/>
  <c r="O252" i="10"/>
  <c r="O244" i="10"/>
  <c r="N252" i="10"/>
  <c r="N276" i="10"/>
  <c r="N268" i="10"/>
  <c r="N260" i="10"/>
  <c r="K281" i="10"/>
  <c r="I281" i="10"/>
  <c r="H281" i="10"/>
  <c r="G281" i="10"/>
  <c r="F281" i="10"/>
  <c r="K280" i="10"/>
  <c r="I280" i="10"/>
  <c r="H280" i="10"/>
  <c r="G280" i="10"/>
  <c r="F280" i="10"/>
  <c r="K279" i="10"/>
  <c r="I279" i="10"/>
  <c r="H279" i="10"/>
  <c r="G279" i="10"/>
  <c r="F279" i="10"/>
  <c r="K278" i="10"/>
  <c r="I278" i="10"/>
  <c r="H278" i="10"/>
  <c r="G278" i="10"/>
  <c r="F278" i="10"/>
  <c r="K277" i="10"/>
  <c r="I277" i="10"/>
  <c r="H277" i="10"/>
  <c r="G277" i="10"/>
  <c r="F277" i="10"/>
  <c r="K273" i="10"/>
  <c r="J273" i="10"/>
  <c r="H273" i="10"/>
  <c r="G273" i="10"/>
  <c r="F273" i="10"/>
  <c r="E273" i="10"/>
  <c r="D273" i="10"/>
  <c r="C273" i="10"/>
  <c r="B273" i="10"/>
  <c r="K272" i="10"/>
  <c r="J272" i="10"/>
  <c r="H272" i="10"/>
  <c r="G272" i="10"/>
  <c r="F272" i="10"/>
  <c r="E272" i="10"/>
  <c r="D272" i="10"/>
  <c r="C272" i="10"/>
  <c r="B272" i="10"/>
  <c r="K271" i="10"/>
  <c r="J271" i="10"/>
  <c r="H271" i="10"/>
  <c r="G271" i="10"/>
  <c r="F271" i="10"/>
  <c r="E271" i="10"/>
  <c r="D271" i="10"/>
  <c r="C271" i="10"/>
  <c r="B271" i="10"/>
  <c r="K270" i="10"/>
  <c r="J270" i="10"/>
  <c r="H270" i="10"/>
  <c r="G270" i="10"/>
  <c r="F270" i="10"/>
  <c r="E270" i="10"/>
  <c r="D270" i="10"/>
  <c r="C270" i="10"/>
  <c r="B270" i="10"/>
  <c r="K269" i="10"/>
  <c r="J269" i="10"/>
  <c r="H269" i="10"/>
  <c r="G269" i="10"/>
  <c r="F269" i="10"/>
  <c r="E269" i="10"/>
  <c r="D269" i="10"/>
  <c r="C269" i="10"/>
  <c r="B269" i="10"/>
  <c r="K265" i="10"/>
  <c r="J265" i="10"/>
  <c r="I265" i="10"/>
  <c r="G265" i="10"/>
  <c r="F265" i="10"/>
  <c r="E265" i="10"/>
  <c r="D265" i="10"/>
  <c r="C265" i="10"/>
  <c r="B265" i="10"/>
  <c r="K264" i="10"/>
  <c r="J264" i="10"/>
  <c r="I264" i="10"/>
  <c r="G264" i="10"/>
  <c r="F264" i="10"/>
  <c r="E264" i="10"/>
  <c r="D264" i="10"/>
  <c r="C264" i="10"/>
  <c r="B264" i="10"/>
  <c r="K263" i="10"/>
  <c r="J263" i="10"/>
  <c r="I263" i="10"/>
  <c r="G263" i="10"/>
  <c r="F263" i="10"/>
  <c r="E263" i="10"/>
  <c r="D263" i="10"/>
  <c r="C263" i="10"/>
  <c r="B263" i="10"/>
  <c r="K262" i="10"/>
  <c r="J262" i="10"/>
  <c r="I262" i="10"/>
  <c r="G262" i="10"/>
  <c r="F262" i="10"/>
  <c r="E262" i="10"/>
  <c r="D262" i="10"/>
  <c r="C262" i="10"/>
  <c r="B262" i="10"/>
  <c r="K261" i="10"/>
  <c r="J261" i="10"/>
  <c r="I261" i="10"/>
  <c r="G261" i="10"/>
  <c r="F261" i="10"/>
  <c r="E261" i="10"/>
  <c r="D261" i="10"/>
  <c r="C261" i="10"/>
  <c r="B261" i="10"/>
  <c r="J257" i="10"/>
  <c r="I257" i="10"/>
  <c r="H257" i="10"/>
  <c r="E257" i="10"/>
  <c r="D257" i="10"/>
  <c r="C257" i="10"/>
  <c r="B257" i="10"/>
  <c r="J256" i="10"/>
  <c r="I256" i="10"/>
  <c r="H256" i="10"/>
  <c r="E256" i="10"/>
  <c r="D256" i="10"/>
  <c r="C256" i="10"/>
  <c r="B256" i="10"/>
  <c r="J255" i="10"/>
  <c r="I255" i="10"/>
  <c r="H255" i="10"/>
  <c r="E255" i="10"/>
  <c r="D255" i="10"/>
  <c r="C255" i="10"/>
  <c r="B255" i="10"/>
  <c r="J254" i="10"/>
  <c r="I254" i="10"/>
  <c r="H254" i="10"/>
  <c r="G254" i="10"/>
  <c r="E254" i="10"/>
  <c r="D254" i="10"/>
  <c r="C254" i="10"/>
  <c r="B254" i="10"/>
  <c r="J253" i="10"/>
  <c r="I253" i="10"/>
  <c r="H253" i="10"/>
  <c r="G253" i="10"/>
  <c r="E253" i="10"/>
  <c r="D253" i="10"/>
  <c r="C253" i="10"/>
  <c r="B253" i="10"/>
  <c r="K249" i="10"/>
  <c r="J249" i="10"/>
  <c r="I249" i="10"/>
  <c r="H249" i="10"/>
  <c r="F249" i="10"/>
  <c r="E249" i="10"/>
  <c r="D249" i="10"/>
  <c r="C249" i="10"/>
  <c r="B249" i="10"/>
  <c r="K248" i="10"/>
  <c r="J248" i="10"/>
  <c r="I248" i="10"/>
  <c r="H248" i="10"/>
  <c r="F248" i="10"/>
  <c r="E248" i="10"/>
  <c r="D248" i="10"/>
  <c r="C248" i="10"/>
  <c r="B248" i="10"/>
  <c r="K247" i="10"/>
  <c r="J247" i="10"/>
  <c r="I247" i="10"/>
  <c r="H247" i="10"/>
  <c r="F247" i="10"/>
  <c r="E247" i="10"/>
  <c r="D247" i="10"/>
  <c r="C247" i="10"/>
  <c r="B247" i="10"/>
  <c r="K246" i="10"/>
  <c r="J246" i="10"/>
  <c r="I246" i="10"/>
  <c r="H246" i="10"/>
  <c r="F246" i="10"/>
  <c r="E246" i="10"/>
  <c r="D246" i="10"/>
  <c r="C246" i="10"/>
  <c r="B246" i="10"/>
  <c r="K245" i="10"/>
  <c r="J245" i="10"/>
  <c r="I245" i="10"/>
  <c r="H245" i="10"/>
  <c r="F245" i="10"/>
  <c r="E245" i="10"/>
  <c r="D245" i="10"/>
  <c r="C245" i="10"/>
  <c r="B245" i="10"/>
  <c r="K276" i="10"/>
  <c r="K260" i="10"/>
  <c r="K244" i="10"/>
  <c r="K268" i="10"/>
  <c r="J252" i="10"/>
  <c r="J260" i="10"/>
  <c r="J244" i="10"/>
  <c r="J268" i="10"/>
  <c r="I244" i="10"/>
  <c r="I260" i="10"/>
  <c r="I252" i="10"/>
  <c r="I276" i="10"/>
  <c r="H252" i="10"/>
  <c r="H276" i="10"/>
  <c r="H268" i="10"/>
  <c r="H244" i="10"/>
  <c r="G268" i="10"/>
  <c r="G252" i="10"/>
  <c r="G276" i="10"/>
  <c r="G260" i="10"/>
  <c r="F244" i="10"/>
  <c r="F276" i="10"/>
  <c r="F260" i="10"/>
  <c r="F268" i="10"/>
  <c r="E244" i="10"/>
  <c r="E268" i="10"/>
  <c r="E260" i="10"/>
  <c r="E252" i="10"/>
  <c r="D268" i="10"/>
  <c r="D260" i="10"/>
  <c r="D252" i="10"/>
  <c r="D244" i="10"/>
  <c r="C260" i="10"/>
  <c r="C252" i="10"/>
  <c r="C268" i="10"/>
  <c r="C244" i="10"/>
  <c r="B252" i="10"/>
  <c r="B244" i="10"/>
  <c r="B268" i="10"/>
  <c r="B260" i="10"/>
  <c r="U233" i="10"/>
  <c r="T233" i="10"/>
  <c r="S233" i="10"/>
  <c r="N233" i="10"/>
  <c r="U232" i="10"/>
  <c r="T232" i="10"/>
  <c r="S232" i="10"/>
  <c r="N232" i="10"/>
  <c r="U231" i="10"/>
  <c r="T231" i="10"/>
  <c r="S231" i="10"/>
  <c r="N231" i="10"/>
  <c r="U230" i="10"/>
  <c r="T230" i="10"/>
  <c r="S230" i="10"/>
  <c r="N230" i="10"/>
  <c r="U229" i="10"/>
  <c r="T229" i="10"/>
  <c r="S229" i="10"/>
  <c r="N229" i="10"/>
  <c r="U225" i="10"/>
  <c r="T225" i="10"/>
  <c r="S225" i="10"/>
  <c r="O225" i="10"/>
  <c r="N225" i="10"/>
  <c r="U224" i="10"/>
  <c r="T224" i="10"/>
  <c r="S224" i="10"/>
  <c r="O224" i="10"/>
  <c r="N224" i="10"/>
  <c r="U223" i="10"/>
  <c r="T223" i="10"/>
  <c r="S223" i="10"/>
  <c r="O223" i="10"/>
  <c r="N223" i="10"/>
  <c r="U222" i="10"/>
  <c r="T222" i="10"/>
  <c r="S222" i="10"/>
  <c r="O222" i="10"/>
  <c r="N222" i="10"/>
  <c r="U221" i="10"/>
  <c r="T221" i="10"/>
  <c r="S221" i="10"/>
  <c r="O221" i="10"/>
  <c r="N221" i="10"/>
  <c r="U217" i="10"/>
  <c r="T217" i="10"/>
  <c r="S217" i="10"/>
  <c r="O217" i="10"/>
  <c r="N217" i="10"/>
  <c r="U216" i="10"/>
  <c r="T216" i="10"/>
  <c r="S216" i="10"/>
  <c r="O216" i="10"/>
  <c r="N216" i="10"/>
  <c r="U215" i="10"/>
  <c r="T215" i="10"/>
  <c r="S215" i="10"/>
  <c r="O215" i="10"/>
  <c r="N215" i="10"/>
  <c r="U214" i="10"/>
  <c r="T214" i="10"/>
  <c r="S214" i="10"/>
  <c r="O214" i="10"/>
  <c r="N214" i="10"/>
  <c r="U213" i="10"/>
  <c r="T213" i="10"/>
  <c r="S213" i="10"/>
  <c r="O213" i="10"/>
  <c r="N213" i="10"/>
  <c r="U201" i="10"/>
  <c r="T201" i="10"/>
  <c r="S201" i="10"/>
  <c r="O201" i="10"/>
  <c r="N201" i="10"/>
  <c r="U200" i="10"/>
  <c r="T200" i="10"/>
  <c r="S200" i="10"/>
  <c r="O200" i="10"/>
  <c r="N200" i="10"/>
  <c r="U199" i="10"/>
  <c r="T199" i="10"/>
  <c r="S199" i="10"/>
  <c r="O199" i="10"/>
  <c r="N199" i="10"/>
  <c r="U198" i="10"/>
  <c r="T198" i="10"/>
  <c r="S198" i="10"/>
  <c r="O198" i="10"/>
  <c r="N198" i="10"/>
  <c r="U197" i="10"/>
  <c r="T197" i="10"/>
  <c r="S197" i="10"/>
  <c r="O197" i="10"/>
  <c r="N197" i="10"/>
  <c r="U228" i="10"/>
  <c r="U220" i="10"/>
  <c r="U212" i="10"/>
  <c r="U196" i="10"/>
  <c r="T228" i="10"/>
  <c r="T220" i="10"/>
  <c r="T212" i="10"/>
  <c r="T196" i="10"/>
  <c r="S228" i="10"/>
  <c r="S220" i="10"/>
  <c r="S212" i="10"/>
  <c r="S196" i="10"/>
  <c r="O220" i="10"/>
  <c r="O212" i="10"/>
  <c r="O196" i="10"/>
  <c r="N228" i="10"/>
  <c r="N220" i="10"/>
  <c r="N212" i="10"/>
  <c r="N196" i="10"/>
  <c r="D145" i="10"/>
  <c r="D144" i="10"/>
  <c r="D143" i="10"/>
  <c r="D142" i="10"/>
  <c r="D141" i="10"/>
  <c r="D137" i="10"/>
  <c r="D136" i="10"/>
  <c r="D135" i="10"/>
  <c r="D134" i="10"/>
  <c r="D133" i="10"/>
  <c r="D121" i="10"/>
  <c r="D120" i="10"/>
  <c r="D119" i="10"/>
  <c r="D118" i="10"/>
  <c r="D117" i="10"/>
  <c r="D116" i="10"/>
  <c r="D132" i="10"/>
  <c r="D140" i="10"/>
  <c r="AB129" i="10"/>
  <c r="AA129" i="10"/>
  <c r="Z129" i="10"/>
  <c r="Y129" i="10"/>
  <c r="X129" i="10"/>
  <c r="AB128" i="10"/>
  <c r="AA128" i="10"/>
  <c r="Z128" i="10"/>
  <c r="Y128" i="10"/>
  <c r="X128" i="10"/>
  <c r="AB127" i="10"/>
  <c r="AA127" i="10"/>
  <c r="Z127" i="10"/>
  <c r="Y127" i="10"/>
  <c r="X127" i="10"/>
  <c r="AB126" i="10"/>
  <c r="AA126" i="10"/>
  <c r="Z126" i="10"/>
  <c r="Y126" i="10"/>
  <c r="X126" i="10"/>
  <c r="AB125" i="10"/>
  <c r="AA125" i="10"/>
  <c r="Z125" i="10"/>
  <c r="Y125" i="10"/>
  <c r="X125" i="10"/>
  <c r="AB121" i="10"/>
  <c r="AA121" i="10"/>
  <c r="Z121" i="10"/>
  <c r="Y121" i="10"/>
  <c r="X121" i="10"/>
  <c r="AB120" i="10"/>
  <c r="AA120" i="10"/>
  <c r="Z120" i="10"/>
  <c r="Y120" i="10"/>
  <c r="X120" i="10"/>
  <c r="AB119" i="10"/>
  <c r="AA119" i="10"/>
  <c r="Z119" i="10"/>
  <c r="Y119" i="10"/>
  <c r="X119" i="10"/>
  <c r="AB118" i="10"/>
  <c r="AA118" i="10"/>
  <c r="Z118" i="10"/>
  <c r="Y118" i="10"/>
  <c r="X118" i="10"/>
  <c r="AB117" i="10"/>
  <c r="AA117" i="10"/>
  <c r="Z117" i="10"/>
  <c r="Y117" i="10"/>
  <c r="X117" i="10"/>
  <c r="AB113" i="10"/>
  <c r="AA113" i="10"/>
  <c r="Z113" i="10"/>
  <c r="Y113" i="10"/>
  <c r="X113" i="10"/>
  <c r="AB112" i="10"/>
  <c r="AA112" i="10"/>
  <c r="Z112" i="10"/>
  <c r="Y112" i="10"/>
  <c r="X112" i="10"/>
  <c r="AB111" i="10"/>
  <c r="AA111" i="10"/>
  <c r="Z111" i="10"/>
  <c r="Y111" i="10"/>
  <c r="X111" i="10"/>
  <c r="AB110" i="10"/>
  <c r="AA110" i="10"/>
  <c r="Z110" i="10"/>
  <c r="Y110" i="10"/>
  <c r="X110" i="10"/>
  <c r="AB109" i="10"/>
  <c r="AA109" i="10"/>
  <c r="Z109" i="10"/>
  <c r="Y109" i="10"/>
  <c r="X109" i="10"/>
  <c r="AB105" i="10"/>
  <c r="AA105" i="10"/>
  <c r="Z105" i="10"/>
  <c r="Y105" i="10"/>
  <c r="X105" i="10"/>
  <c r="AB104" i="10"/>
  <c r="AA104" i="10"/>
  <c r="Z104" i="10"/>
  <c r="Y104" i="10"/>
  <c r="X104" i="10"/>
  <c r="AB103" i="10"/>
  <c r="AA103" i="10"/>
  <c r="Z103" i="10"/>
  <c r="Y103" i="10"/>
  <c r="X103" i="10"/>
  <c r="AB102" i="10"/>
  <c r="AA102" i="10"/>
  <c r="Z102" i="10"/>
  <c r="Y102" i="10"/>
  <c r="X102" i="10"/>
  <c r="AB101" i="10"/>
  <c r="AA101" i="10"/>
  <c r="Z101" i="10"/>
  <c r="Y101" i="10"/>
  <c r="X101" i="10"/>
  <c r="AB124" i="10"/>
  <c r="AB116" i="10"/>
  <c r="AB108" i="10"/>
  <c r="AB100" i="10"/>
  <c r="AA124" i="10"/>
  <c r="AA116" i="10"/>
  <c r="AA108" i="10"/>
  <c r="AA100" i="10"/>
  <c r="Z124" i="10"/>
  <c r="Z116" i="10"/>
  <c r="Z108" i="10"/>
  <c r="Z100" i="10"/>
  <c r="Y124" i="10"/>
  <c r="Y116" i="10"/>
  <c r="Y108" i="10"/>
  <c r="Y100" i="10"/>
  <c r="X124" i="10"/>
  <c r="X116" i="10"/>
  <c r="X108" i="10"/>
  <c r="X100" i="10"/>
  <c r="Q145" i="10"/>
  <c r="P145" i="10"/>
  <c r="Q144" i="10"/>
  <c r="P144" i="10"/>
  <c r="Q143" i="10"/>
  <c r="P143" i="10"/>
  <c r="Q142" i="10"/>
  <c r="P142" i="10"/>
  <c r="Q141" i="10"/>
  <c r="P141" i="10"/>
  <c r="Q137" i="10"/>
  <c r="P137" i="10"/>
  <c r="Q136" i="10"/>
  <c r="P136" i="10"/>
  <c r="Q135" i="10"/>
  <c r="P135" i="10"/>
  <c r="Q134" i="10"/>
  <c r="P134" i="10"/>
  <c r="Q133" i="10"/>
  <c r="P133" i="10"/>
  <c r="O129" i="10"/>
  <c r="N129" i="10"/>
  <c r="O128" i="10"/>
  <c r="N128" i="10"/>
  <c r="O127" i="10"/>
  <c r="N127" i="10"/>
  <c r="O126" i="10"/>
  <c r="N126" i="10"/>
  <c r="O125" i="10"/>
  <c r="N125" i="10"/>
  <c r="O121" i="10"/>
  <c r="N121" i="10"/>
  <c r="O120" i="10"/>
  <c r="N120" i="10"/>
  <c r="O119" i="10"/>
  <c r="N119" i="10"/>
  <c r="O118" i="10"/>
  <c r="N118" i="10"/>
  <c r="O117" i="10"/>
  <c r="N117" i="10"/>
  <c r="Q113" i="10"/>
  <c r="P113" i="10"/>
  <c r="O113" i="10"/>
  <c r="N113" i="10"/>
  <c r="Q112" i="10"/>
  <c r="P112" i="10"/>
  <c r="O112" i="10"/>
  <c r="N112" i="10"/>
  <c r="Q111" i="10"/>
  <c r="P111" i="10"/>
  <c r="O111" i="10"/>
  <c r="N111" i="10"/>
  <c r="Q110" i="10"/>
  <c r="P110" i="10"/>
  <c r="O110" i="10"/>
  <c r="N110" i="10"/>
  <c r="Q109" i="10"/>
  <c r="P109" i="10"/>
  <c r="O109" i="10"/>
  <c r="N109" i="10"/>
  <c r="Q105" i="10"/>
  <c r="P105" i="10"/>
  <c r="O105" i="10"/>
  <c r="N105" i="10"/>
  <c r="Q104" i="10"/>
  <c r="P104" i="10"/>
  <c r="O104" i="10"/>
  <c r="N104" i="10"/>
  <c r="Q103" i="10"/>
  <c r="P103" i="10"/>
  <c r="O103" i="10"/>
  <c r="N103" i="10"/>
  <c r="Q102" i="10"/>
  <c r="P102" i="10"/>
  <c r="O102" i="10"/>
  <c r="N102" i="10"/>
  <c r="Q101" i="10"/>
  <c r="P101" i="10"/>
  <c r="O101" i="10"/>
  <c r="N101" i="10"/>
  <c r="Q132" i="10"/>
  <c r="Q140" i="10"/>
  <c r="Q108" i="10"/>
  <c r="Q100" i="10"/>
  <c r="P140" i="10"/>
  <c r="P132" i="10"/>
  <c r="P108" i="10"/>
  <c r="P100" i="10"/>
  <c r="O124" i="10"/>
  <c r="O116" i="10"/>
  <c r="O108" i="10"/>
  <c r="O100" i="10"/>
  <c r="N100" i="10"/>
  <c r="N108" i="10"/>
  <c r="N116" i="10"/>
  <c r="N124" i="10"/>
  <c r="M137" i="10"/>
  <c r="L137" i="10"/>
  <c r="K137" i="10"/>
  <c r="J137" i="10"/>
  <c r="M136" i="10"/>
  <c r="L136" i="10"/>
  <c r="K136" i="10"/>
  <c r="J136" i="10"/>
  <c r="M135" i="10"/>
  <c r="L135" i="10"/>
  <c r="K135" i="10"/>
  <c r="J135" i="10"/>
  <c r="M134" i="10"/>
  <c r="L134" i="10"/>
  <c r="K134" i="10"/>
  <c r="J134" i="10"/>
  <c r="M133" i="10"/>
  <c r="L133" i="10"/>
  <c r="K133" i="10"/>
  <c r="J133" i="10"/>
  <c r="M129" i="10"/>
  <c r="L129" i="10"/>
  <c r="K129" i="10"/>
  <c r="J129" i="10"/>
  <c r="M128" i="10"/>
  <c r="L128" i="10"/>
  <c r="K128" i="10"/>
  <c r="J128" i="10"/>
  <c r="M127" i="10"/>
  <c r="L127" i="10"/>
  <c r="K127" i="10"/>
  <c r="J127" i="10"/>
  <c r="M126" i="10"/>
  <c r="L126" i="10"/>
  <c r="K126" i="10"/>
  <c r="J126" i="10"/>
  <c r="M125" i="10"/>
  <c r="L125" i="10"/>
  <c r="K125" i="10"/>
  <c r="J125" i="10"/>
  <c r="M121" i="10"/>
  <c r="L121" i="10"/>
  <c r="M120" i="10"/>
  <c r="L120" i="10"/>
  <c r="M119" i="10"/>
  <c r="L119" i="10"/>
  <c r="M118" i="10"/>
  <c r="L118" i="10"/>
  <c r="M117" i="10"/>
  <c r="L117" i="10"/>
  <c r="K113" i="10"/>
  <c r="J113" i="10"/>
  <c r="K112" i="10"/>
  <c r="J112" i="10"/>
  <c r="K111" i="10"/>
  <c r="J111" i="10"/>
  <c r="K110" i="10"/>
  <c r="J110" i="10"/>
  <c r="K109" i="10"/>
  <c r="J109" i="10"/>
  <c r="M105" i="10"/>
  <c r="L105" i="10"/>
  <c r="K105" i="10"/>
  <c r="J105" i="10"/>
  <c r="M104" i="10"/>
  <c r="L104" i="10"/>
  <c r="K104" i="10"/>
  <c r="J104" i="10"/>
  <c r="M103" i="10"/>
  <c r="L103" i="10"/>
  <c r="K103" i="10"/>
  <c r="J103" i="10"/>
  <c r="M102" i="10"/>
  <c r="L102" i="10"/>
  <c r="K102" i="10"/>
  <c r="J102" i="10"/>
  <c r="M101" i="10"/>
  <c r="L101" i="10"/>
  <c r="K101" i="10"/>
  <c r="J101" i="10"/>
  <c r="M124" i="10"/>
  <c r="M116" i="10"/>
  <c r="M132" i="10"/>
  <c r="M100" i="10"/>
  <c r="L124" i="10"/>
  <c r="L116" i="10"/>
  <c r="L132" i="10"/>
  <c r="L100" i="10"/>
  <c r="K124" i="10"/>
  <c r="K108" i="10"/>
  <c r="K132" i="10"/>
  <c r="K100" i="10"/>
  <c r="J124" i="10"/>
  <c r="J108" i="10"/>
  <c r="J132" i="10"/>
  <c r="J100" i="10"/>
  <c r="E145" i="10"/>
  <c r="E144" i="10"/>
  <c r="E143" i="10"/>
  <c r="E142" i="10"/>
  <c r="E141" i="10"/>
  <c r="I137" i="10"/>
  <c r="H137" i="10"/>
  <c r="G137" i="10"/>
  <c r="F137" i="10"/>
  <c r="I136" i="10"/>
  <c r="H136" i="10"/>
  <c r="G136" i="10"/>
  <c r="F136" i="10"/>
  <c r="I135" i="10"/>
  <c r="H135" i="10"/>
  <c r="G135" i="10"/>
  <c r="F135" i="10"/>
  <c r="I134" i="10"/>
  <c r="H134" i="10"/>
  <c r="G134" i="10"/>
  <c r="F134" i="10"/>
  <c r="I133" i="10"/>
  <c r="H133" i="10"/>
  <c r="G133" i="10"/>
  <c r="F133" i="10"/>
  <c r="I129" i="10"/>
  <c r="H129" i="10"/>
  <c r="G129" i="10"/>
  <c r="F129" i="10"/>
  <c r="E129" i="10"/>
  <c r="I128" i="10"/>
  <c r="H128" i="10"/>
  <c r="G128" i="10"/>
  <c r="F128" i="10"/>
  <c r="E128" i="10"/>
  <c r="I127" i="10"/>
  <c r="H127" i="10"/>
  <c r="G127" i="10"/>
  <c r="F127" i="10"/>
  <c r="E127" i="10"/>
  <c r="I126" i="10"/>
  <c r="H126" i="10"/>
  <c r="G126" i="10"/>
  <c r="F126" i="10"/>
  <c r="E126" i="10"/>
  <c r="I125" i="10"/>
  <c r="H125" i="10"/>
  <c r="G125" i="10"/>
  <c r="F125" i="10"/>
  <c r="E125" i="10"/>
  <c r="G121" i="10"/>
  <c r="F121" i="10"/>
  <c r="G120" i="10"/>
  <c r="F120" i="10"/>
  <c r="G119" i="10"/>
  <c r="F119" i="10"/>
  <c r="G118" i="10"/>
  <c r="F118" i="10"/>
  <c r="G117" i="10"/>
  <c r="F117" i="10"/>
  <c r="I113" i="10"/>
  <c r="H113" i="10"/>
  <c r="E113" i="10"/>
  <c r="I112" i="10"/>
  <c r="H112" i="10"/>
  <c r="E112" i="10"/>
  <c r="I111" i="10"/>
  <c r="H111" i="10"/>
  <c r="E111" i="10"/>
  <c r="I110" i="10"/>
  <c r="H110" i="10"/>
  <c r="E110" i="10"/>
  <c r="I109" i="10"/>
  <c r="H109" i="10"/>
  <c r="E109" i="10"/>
  <c r="I105" i="10"/>
  <c r="H105" i="10"/>
  <c r="G105" i="10"/>
  <c r="F105" i="10"/>
  <c r="E105" i="10"/>
  <c r="D105" i="10"/>
  <c r="I104" i="10"/>
  <c r="H104" i="10"/>
  <c r="G104" i="10"/>
  <c r="F104" i="10"/>
  <c r="E104" i="10"/>
  <c r="D104" i="10"/>
  <c r="I103" i="10"/>
  <c r="H103" i="10"/>
  <c r="G103" i="10"/>
  <c r="F103" i="10"/>
  <c r="E103" i="10"/>
  <c r="D103" i="10"/>
  <c r="I102" i="10"/>
  <c r="H102" i="10"/>
  <c r="G102" i="10"/>
  <c r="F102" i="10"/>
  <c r="E102" i="10"/>
  <c r="D102" i="10"/>
  <c r="I101" i="10"/>
  <c r="H101" i="10"/>
  <c r="G101" i="10"/>
  <c r="F101" i="10"/>
  <c r="E101" i="10"/>
  <c r="D101" i="10"/>
  <c r="I124" i="10"/>
  <c r="I108" i="10"/>
  <c r="I132" i="10"/>
  <c r="I100" i="10"/>
  <c r="H124" i="10"/>
  <c r="H108" i="10"/>
  <c r="H132" i="10"/>
  <c r="H100" i="10"/>
  <c r="G124" i="10"/>
  <c r="G116" i="10"/>
  <c r="G132" i="10"/>
  <c r="G100" i="10"/>
  <c r="F124" i="10"/>
  <c r="F116" i="10"/>
  <c r="F132" i="10"/>
  <c r="F100" i="10"/>
  <c r="E124" i="10"/>
  <c r="E100" i="10"/>
  <c r="E140" i="10"/>
  <c r="E108" i="10"/>
  <c r="D100" i="10"/>
  <c r="AY37" i="14"/>
  <c r="AY38" i="14"/>
  <c r="C135" i="10" s="1"/>
  <c r="B141" i="10"/>
  <c r="B142" i="10"/>
  <c r="B143" i="10"/>
  <c r="B144" i="10"/>
  <c r="B145" i="10"/>
  <c r="C133" i="10"/>
  <c r="C136" i="10"/>
  <c r="B125" i="10"/>
  <c r="C125" i="10"/>
  <c r="B126" i="10"/>
  <c r="C126" i="10"/>
  <c r="B127" i="10"/>
  <c r="C127" i="10"/>
  <c r="B128" i="10"/>
  <c r="C128" i="10"/>
  <c r="B129" i="10"/>
  <c r="C129" i="10"/>
  <c r="C117" i="10"/>
  <c r="C118" i="10"/>
  <c r="C119" i="10"/>
  <c r="C120" i="10"/>
  <c r="C121" i="10"/>
  <c r="B109" i="10"/>
  <c r="B110" i="10"/>
  <c r="B111" i="10"/>
  <c r="B112" i="10"/>
  <c r="B113" i="10"/>
  <c r="B101" i="10"/>
  <c r="C101" i="10"/>
  <c r="B102" i="10"/>
  <c r="C102" i="10"/>
  <c r="B103" i="10"/>
  <c r="C103" i="10"/>
  <c r="B104" i="10"/>
  <c r="C104" i="10"/>
  <c r="B105" i="10"/>
  <c r="C105" i="10"/>
  <c r="C124" i="10"/>
  <c r="C132" i="10"/>
  <c r="C100" i="10"/>
  <c r="C116" i="10"/>
  <c r="B108" i="10"/>
  <c r="B124" i="10"/>
  <c r="B100" i="10"/>
  <c r="B140" i="10"/>
  <c r="BO10" i="17" l="1"/>
  <c r="K535" i="10"/>
  <c r="L535" i="10"/>
  <c r="BP32" i="17"/>
  <c r="BP36" i="17"/>
  <c r="BP34" i="17"/>
  <c r="F535" i="10"/>
  <c r="I535" i="10"/>
  <c r="AL13" i="17"/>
  <c r="AM37" i="17"/>
  <c r="AM13" i="17"/>
  <c r="AN11" i="17"/>
  <c r="AN10" i="17"/>
  <c r="H535" i="10"/>
  <c r="E368" i="10"/>
  <c r="K368" i="10"/>
  <c r="D496" i="10"/>
  <c r="H493" i="10"/>
  <c r="D494" i="10"/>
  <c r="L494" i="10"/>
  <c r="AC573" i="10"/>
  <c r="AC574" i="10"/>
  <c r="D535" i="10"/>
  <c r="AC582" i="10"/>
  <c r="AC580" i="10"/>
  <c r="M492" i="10"/>
  <c r="E493" i="10"/>
  <c r="I494" i="10"/>
  <c r="I496" i="10"/>
  <c r="C493" i="10"/>
  <c r="G494" i="10"/>
  <c r="C497" i="10"/>
  <c r="C452" i="10"/>
  <c r="E497" i="10"/>
  <c r="B364" i="10"/>
  <c r="P365" i="10"/>
  <c r="P367" i="10" s="1"/>
  <c r="N453" i="10"/>
  <c r="N455" i="10" s="1"/>
  <c r="N457" i="10"/>
  <c r="D364" i="10"/>
  <c r="F364" i="10"/>
  <c r="P364" i="10"/>
  <c r="E365" i="10"/>
  <c r="E366" i="10"/>
  <c r="K366" i="10"/>
  <c r="G368" i="10"/>
  <c r="K369" i="10"/>
  <c r="C453" i="10"/>
  <c r="K453" i="10"/>
  <c r="E456" i="10"/>
  <c r="C457" i="10"/>
  <c r="K457" i="10"/>
  <c r="I453" i="10"/>
  <c r="G454" i="10"/>
  <c r="C456" i="10"/>
  <c r="K456" i="10"/>
  <c r="I457" i="10"/>
  <c r="O452" i="10"/>
  <c r="T452" i="10"/>
  <c r="T492" i="10"/>
  <c r="F413" i="10"/>
  <c r="D414" i="10"/>
  <c r="H416" i="10"/>
  <c r="J453" i="10"/>
  <c r="J457" i="10"/>
  <c r="H453" i="10"/>
  <c r="B456" i="10"/>
  <c r="H457" i="10"/>
  <c r="F457" i="10"/>
  <c r="S453" i="10"/>
  <c r="S457" i="10"/>
  <c r="T453" i="10"/>
  <c r="T455" i="10" s="1"/>
  <c r="T457" i="10"/>
  <c r="N494" i="10"/>
  <c r="N495" i="10" s="1"/>
  <c r="N496" i="10"/>
  <c r="E240" i="10"/>
  <c r="N492" i="10"/>
  <c r="S492" i="10"/>
  <c r="N456" i="10"/>
  <c r="F492" i="10"/>
  <c r="H492" i="10"/>
  <c r="O492" i="10"/>
  <c r="O493" i="10"/>
  <c r="O495" i="10" s="1"/>
  <c r="O497" i="10"/>
  <c r="AC374" i="10"/>
  <c r="AT24" i="17" s="1"/>
  <c r="J365" i="10"/>
  <c r="O454" i="10"/>
  <c r="O455" i="10" s="1"/>
  <c r="O456" i="10"/>
  <c r="L492" i="10"/>
  <c r="U416" i="10"/>
  <c r="Q364" i="10"/>
  <c r="Q366" i="10"/>
  <c r="Q367" i="10" s="1"/>
  <c r="S454" i="10"/>
  <c r="S456" i="10"/>
  <c r="J493" i="10"/>
  <c r="F494" i="10"/>
  <c r="F496" i="10"/>
  <c r="T493" i="10"/>
  <c r="T495" i="10" s="1"/>
  <c r="T497" i="10"/>
  <c r="S189" i="10"/>
  <c r="N452" i="10"/>
  <c r="S452" i="10"/>
  <c r="C412" i="10"/>
  <c r="E412" i="10"/>
  <c r="G412" i="10"/>
  <c r="K412" i="10"/>
  <c r="G453" i="10"/>
  <c r="E454" i="10"/>
  <c r="I456" i="10"/>
  <c r="G457" i="10"/>
  <c r="E453" i="10"/>
  <c r="C454" i="10"/>
  <c r="K454" i="10"/>
  <c r="K455" i="10" s="1"/>
  <c r="G456" i="10"/>
  <c r="G496" i="10"/>
  <c r="M497" i="10"/>
  <c r="E494" i="10"/>
  <c r="M494" i="10"/>
  <c r="S493" i="10"/>
  <c r="S495" i="10" s="1"/>
  <c r="F454" i="10"/>
  <c r="J456" i="10"/>
  <c r="F453" i="10"/>
  <c r="D454" i="10"/>
  <c r="H456" i="10"/>
  <c r="N241" i="10"/>
  <c r="I326" i="10"/>
  <c r="AC381" i="10"/>
  <c r="AU38" i="17" s="1"/>
  <c r="AC382" i="10"/>
  <c r="AC389" i="10"/>
  <c r="AV38" i="17" s="1"/>
  <c r="AC390" i="10"/>
  <c r="AV24" i="17" s="1"/>
  <c r="B365" i="10"/>
  <c r="F366" i="10"/>
  <c r="AC405" i="10"/>
  <c r="AC406" i="10"/>
  <c r="AX24" i="17" s="1"/>
  <c r="H452" i="10"/>
  <c r="G236" i="10"/>
  <c r="H241" i="10"/>
  <c r="B453" i="10"/>
  <c r="H454" i="10"/>
  <c r="D456" i="10"/>
  <c r="B457" i="10"/>
  <c r="G497" i="10"/>
  <c r="Z241" i="10"/>
  <c r="D368" i="10"/>
  <c r="J369" i="10"/>
  <c r="G493" i="10"/>
  <c r="C494" i="10"/>
  <c r="C496" i="10"/>
  <c r="P325" i="10"/>
  <c r="Q328" i="10"/>
  <c r="N364" i="10"/>
  <c r="N368" i="10" s="1"/>
  <c r="G365" i="10"/>
  <c r="G366" i="10"/>
  <c r="K452" i="10"/>
  <c r="M496" i="10"/>
  <c r="R328" i="10"/>
  <c r="I364" i="10"/>
  <c r="AC397" i="10"/>
  <c r="AW38" i="17" s="1"/>
  <c r="AC398" i="10"/>
  <c r="AW24" i="17" s="1"/>
  <c r="I493" i="10"/>
  <c r="E496" i="10"/>
  <c r="L493" i="10"/>
  <c r="L495" i="10" s="1"/>
  <c r="H496" i="10"/>
  <c r="D493" i="10"/>
  <c r="H494" i="10"/>
  <c r="H495" i="10" s="1"/>
  <c r="D497" i="10"/>
  <c r="L497" i="10"/>
  <c r="M493" i="10"/>
  <c r="F493" i="10"/>
  <c r="J494" i="10"/>
  <c r="F497" i="10"/>
  <c r="E495" i="10"/>
  <c r="J492" i="10"/>
  <c r="I492" i="10"/>
  <c r="G492" i="10"/>
  <c r="E492" i="10"/>
  <c r="D492" i="10"/>
  <c r="C492" i="10"/>
  <c r="I455" i="10"/>
  <c r="D453" i="10"/>
  <c r="B454" i="10"/>
  <c r="B455" i="10" s="1"/>
  <c r="J454" i="10"/>
  <c r="F456" i="10"/>
  <c r="D457" i="10"/>
  <c r="J452" i="10"/>
  <c r="I452" i="10"/>
  <c r="G452" i="10"/>
  <c r="F452" i="10"/>
  <c r="E452" i="10"/>
  <c r="D452" i="10"/>
  <c r="B452" i="10"/>
  <c r="P368" i="10"/>
  <c r="H369" i="10"/>
  <c r="F369" i="10"/>
  <c r="F365" i="10"/>
  <c r="D369" i="10"/>
  <c r="J366" i="10"/>
  <c r="J367" i="10" s="1"/>
  <c r="J368" i="10"/>
  <c r="D366" i="10"/>
  <c r="D365" i="10"/>
  <c r="I367" i="10"/>
  <c r="H365" i="10"/>
  <c r="H367" i="10" s="1"/>
  <c r="B366" i="10"/>
  <c r="B367" i="10" s="1"/>
  <c r="N366" i="10"/>
  <c r="B368" i="10"/>
  <c r="O364" i="10"/>
  <c r="O369" i="10" s="1"/>
  <c r="AC388" i="10"/>
  <c r="AV9" i="17" s="1"/>
  <c r="K364" i="10"/>
  <c r="AC396" i="10"/>
  <c r="AW9" i="17" s="1"/>
  <c r="J364" i="10"/>
  <c r="H364" i="10"/>
  <c r="G364" i="10"/>
  <c r="AC404" i="10"/>
  <c r="AX9" i="17" s="1"/>
  <c r="AC380" i="10"/>
  <c r="C364" i="10"/>
  <c r="K367" i="10"/>
  <c r="E367" i="10"/>
  <c r="C367" i="10"/>
  <c r="O367" i="10"/>
  <c r="K236" i="10"/>
  <c r="D241" i="10"/>
  <c r="Y240" i="10"/>
  <c r="R326" i="10"/>
  <c r="I416" i="10"/>
  <c r="G417" i="10"/>
  <c r="S417" i="10"/>
  <c r="O368" i="10"/>
  <c r="AC372" i="10"/>
  <c r="AT9" i="17" s="1"/>
  <c r="C328" i="10"/>
  <c r="E325" i="10"/>
  <c r="G328" i="10"/>
  <c r="AC373" i="10"/>
  <c r="J324" i="10"/>
  <c r="D328" i="10"/>
  <c r="B329" i="10"/>
  <c r="J329" i="10"/>
  <c r="J417" i="10"/>
  <c r="C238" i="10"/>
  <c r="J240" i="10"/>
  <c r="I241" i="10"/>
  <c r="T412" i="10"/>
  <c r="N417" i="10"/>
  <c r="T416" i="10"/>
  <c r="J416" i="10"/>
  <c r="K93" i="10"/>
  <c r="I238" i="10"/>
  <c r="K238" i="10"/>
  <c r="X237" i="10"/>
  <c r="P240" i="10"/>
  <c r="N238" i="10"/>
  <c r="O326" i="10"/>
  <c r="P329" i="10"/>
  <c r="O329" i="10"/>
  <c r="U412" i="10"/>
  <c r="O236" i="10"/>
  <c r="Q324" i="10"/>
  <c r="N236" i="10"/>
  <c r="Y237" i="10"/>
  <c r="N240" i="10"/>
  <c r="B324" i="10"/>
  <c r="C325" i="10"/>
  <c r="E328" i="10"/>
  <c r="C329" i="10"/>
  <c r="K329" i="10"/>
  <c r="I325" i="10"/>
  <c r="G326" i="10"/>
  <c r="K328" i="10"/>
  <c r="I329" i="10"/>
  <c r="G325" i="10"/>
  <c r="C326" i="10"/>
  <c r="K326" i="10"/>
  <c r="N324" i="10"/>
  <c r="R325" i="10"/>
  <c r="N329" i="10"/>
  <c r="H413" i="10"/>
  <c r="F414" i="10"/>
  <c r="F415" i="10" s="1"/>
  <c r="H417" i="10"/>
  <c r="U413" i="10"/>
  <c r="T413" i="10"/>
  <c r="D329" i="10"/>
  <c r="O324" i="10"/>
  <c r="N326" i="10"/>
  <c r="I412" i="10"/>
  <c r="I413" i="10"/>
  <c r="G414" i="10"/>
  <c r="K416" i="10"/>
  <c r="I417" i="10"/>
  <c r="G413" i="10"/>
  <c r="E414" i="10"/>
  <c r="E416" i="10"/>
  <c r="N414" i="10"/>
  <c r="O417" i="10"/>
  <c r="Q94" i="10"/>
  <c r="H238" i="10"/>
  <c r="C237" i="10"/>
  <c r="C239" i="10" s="1"/>
  <c r="C240" i="10"/>
  <c r="I240" i="10"/>
  <c r="K241" i="10"/>
  <c r="O238" i="10"/>
  <c r="N237" i="10"/>
  <c r="E329" i="10"/>
  <c r="P324" i="10"/>
  <c r="Q325" i="10"/>
  <c r="F412" i="10"/>
  <c r="H412" i="10"/>
  <c r="J412" i="10"/>
  <c r="D416" i="10"/>
  <c r="O414" i="10"/>
  <c r="Z238" i="10"/>
  <c r="Z240" i="10"/>
  <c r="H328" i="10"/>
  <c r="P326" i="10"/>
  <c r="Q329" i="10"/>
  <c r="C413" i="10"/>
  <c r="K413" i="10"/>
  <c r="I414" i="10"/>
  <c r="I415" i="10" s="1"/>
  <c r="K417" i="10"/>
  <c r="O412" i="10"/>
  <c r="S413" i="10"/>
  <c r="S416" i="10"/>
  <c r="O416" i="10"/>
  <c r="S414" i="10"/>
  <c r="N416" i="10"/>
  <c r="Y236" i="10"/>
  <c r="O241" i="10"/>
  <c r="I328" i="10"/>
  <c r="G329" i="10"/>
  <c r="R324" i="10"/>
  <c r="N325" i="10"/>
  <c r="Q326" i="10"/>
  <c r="Q327" i="10" s="1"/>
  <c r="O328" i="10"/>
  <c r="R329" i="10"/>
  <c r="D412" i="10"/>
  <c r="D413" i="10"/>
  <c r="J414" i="10"/>
  <c r="F416" i="10"/>
  <c r="D417" i="10"/>
  <c r="J413" i="10"/>
  <c r="H414" i="10"/>
  <c r="N413" i="10"/>
  <c r="N415" i="10" s="1"/>
  <c r="T414" i="10"/>
  <c r="T415" i="10" s="1"/>
  <c r="U417" i="10"/>
  <c r="K324" i="10"/>
  <c r="B328" i="10"/>
  <c r="J328" i="10"/>
  <c r="H329" i="10"/>
  <c r="B325" i="10"/>
  <c r="O325" i="10"/>
  <c r="P328" i="10"/>
  <c r="N328" i="10"/>
  <c r="E413" i="10"/>
  <c r="C414" i="10"/>
  <c r="K414" i="10"/>
  <c r="G416" i="10"/>
  <c r="E417" i="10"/>
  <c r="N412" i="10"/>
  <c r="S412" i="10"/>
  <c r="O413" i="10"/>
  <c r="O415" i="10" s="1"/>
  <c r="U414" i="10"/>
  <c r="E92" i="10"/>
  <c r="O94" i="10"/>
  <c r="T190" i="10"/>
  <c r="X236" i="10"/>
  <c r="Z236" i="10"/>
  <c r="Y241" i="10"/>
  <c r="Z237" i="10"/>
  <c r="H325" i="10"/>
  <c r="F240" i="10"/>
  <c r="P238" i="10"/>
  <c r="O93" i="10"/>
  <c r="H240" i="10"/>
  <c r="E238" i="10"/>
  <c r="G238" i="10"/>
  <c r="O237" i="10"/>
  <c r="O239" i="10" s="1"/>
  <c r="P237" i="10"/>
  <c r="K325" i="10"/>
  <c r="P236" i="10"/>
  <c r="X238" i="10"/>
  <c r="P241" i="10"/>
  <c r="D326" i="10"/>
  <c r="J325" i="10"/>
  <c r="O190" i="10"/>
  <c r="Y238" i="10"/>
  <c r="O240" i="10"/>
  <c r="E326" i="10"/>
  <c r="F417" i="10"/>
  <c r="T417" i="10"/>
  <c r="H326" i="10"/>
  <c r="B326" i="10"/>
  <c r="D325" i="10"/>
  <c r="J326" i="10"/>
  <c r="I324" i="10"/>
  <c r="H324" i="10"/>
  <c r="G324" i="10"/>
  <c r="E324" i="10"/>
  <c r="D324" i="10"/>
  <c r="C324" i="10"/>
  <c r="M93" i="10"/>
  <c r="P92" i="10"/>
  <c r="AB92" i="10"/>
  <c r="I93" i="10"/>
  <c r="H237" i="10"/>
  <c r="B238" i="10"/>
  <c r="K237" i="10"/>
  <c r="K239" i="10" s="1"/>
  <c r="T188" i="10"/>
  <c r="S190" i="10"/>
  <c r="C93" i="10"/>
  <c r="F94" i="10"/>
  <c r="I94" i="10"/>
  <c r="U190" i="10"/>
  <c r="E241" i="10"/>
  <c r="D237" i="10"/>
  <c r="T189" i="10"/>
  <c r="Z92" i="10"/>
  <c r="S188" i="10"/>
  <c r="U188" i="10"/>
  <c r="U189" i="10"/>
  <c r="U191" i="10" s="1"/>
  <c r="J238" i="10"/>
  <c r="I237" i="10"/>
  <c r="P239" i="10"/>
  <c r="K240" i="10"/>
  <c r="F241" i="10"/>
  <c r="G237" i="10"/>
  <c r="E237" i="10"/>
  <c r="D238" i="10"/>
  <c r="J241" i="10"/>
  <c r="F237" i="10"/>
  <c r="C241" i="10"/>
  <c r="D240" i="10"/>
  <c r="F238" i="10"/>
  <c r="J237" i="10"/>
  <c r="B237" i="10"/>
  <c r="B240" i="10"/>
  <c r="B241" i="10"/>
  <c r="J236" i="10"/>
  <c r="I236" i="10"/>
  <c r="H236" i="10"/>
  <c r="F236" i="10"/>
  <c r="E236" i="10"/>
  <c r="D236" i="10"/>
  <c r="C236" i="10"/>
  <c r="B236" i="10"/>
  <c r="AA92" i="10"/>
  <c r="AA94" i="10"/>
  <c r="L93" i="10"/>
  <c r="P93" i="10"/>
  <c r="I92" i="10"/>
  <c r="G93" i="10"/>
  <c r="M94" i="10"/>
  <c r="Q93" i="10"/>
  <c r="Z93" i="10"/>
  <c r="Y94" i="10"/>
  <c r="AB94" i="10"/>
  <c r="X93" i="10"/>
  <c r="N188" i="10"/>
  <c r="F92" i="10"/>
  <c r="N189" i="10"/>
  <c r="N190" i="10"/>
  <c r="O189" i="10"/>
  <c r="O188" i="10"/>
  <c r="B92" i="10"/>
  <c r="J93" i="10"/>
  <c r="AA93" i="10"/>
  <c r="Z94" i="10"/>
  <c r="H92" i="10"/>
  <c r="B93" i="10"/>
  <c r="L92" i="10"/>
  <c r="G94" i="10"/>
  <c r="H94" i="10"/>
  <c r="AB93" i="10"/>
  <c r="Y93" i="10"/>
  <c r="X94" i="10"/>
  <c r="Y92" i="10"/>
  <c r="X92" i="10"/>
  <c r="P94" i="10"/>
  <c r="N94" i="10"/>
  <c r="N93" i="10"/>
  <c r="Q92" i="10"/>
  <c r="O92" i="10"/>
  <c r="N92" i="10"/>
  <c r="L94" i="10"/>
  <c r="J94" i="10"/>
  <c r="K94" i="10"/>
  <c r="M92" i="10"/>
  <c r="K92" i="10"/>
  <c r="J92" i="10"/>
  <c r="F93" i="10"/>
  <c r="D94" i="10"/>
  <c r="E94" i="10"/>
  <c r="D93" i="10"/>
  <c r="E93" i="10"/>
  <c r="H93" i="10"/>
  <c r="G92" i="10"/>
  <c r="D92" i="10"/>
  <c r="C134" i="10"/>
  <c r="C94" i="10" s="1"/>
  <c r="AY40" i="14"/>
  <c r="C137" i="10" s="1"/>
  <c r="B94" i="10"/>
  <c r="C92" i="10"/>
  <c r="AB7" i="12"/>
  <c r="AA7" i="12"/>
  <c r="X7" i="12"/>
  <c r="W7" i="12"/>
  <c r="V7" i="12"/>
  <c r="U7" i="12"/>
  <c r="BP37" i="17" l="1"/>
  <c r="AC577" i="10"/>
  <c r="BO38" i="17"/>
  <c r="AC584" i="10"/>
  <c r="BP9" i="17"/>
  <c r="AC575" i="10"/>
  <c r="BO24" i="17"/>
  <c r="AC583" i="10"/>
  <c r="BP24" i="17"/>
  <c r="E415" i="10"/>
  <c r="K415" i="10"/>
  <c r="AC576" i="10"/>
  <c r="G495" i="10"/>
  <c r="F495" i="10"/>
  <c r="D495" i="10"/>
  <c r="S455" i="10"/>
  <c r="G455" i="10"/>
  <c r="D455" i="10"/>
  <c r="H455" i="10"/>
  <c r="C455" i="10"/>
  <c r="D415" i="10"/>
  <c r="G415" i="10"/>
  <c r="AC407" i="10"/>
  <c r="AX38" i="17"/>
  <c r="AX25" i="17" s="1"/>
  <c r="AX10" i="17"/>
  <c r="AW25" i="17"/>
  <c r="AW26" i="17"/>
  <c r="AV26" i="17"/>
  <c r="AV25" i="17"/>
  <c r="AW11" i="17"/>
  <c r="AW10" i="17"/>
  <c r="AW36" i="17"/>
  <c r="AW32" i="17"/>
  <c r="AW23" i="17"/>
  <c r="AW12" i="17" s="1"/>
  <c r="AW34" i="17"/>
  <c r="AV36" i="17"/>
  <c r="AV23" i="17"/>
  <c r="AV12" i="17" s="1"/>
  <c r="AV32" i="17"/>
  <c r="AV34" i="17"/>
  <c r="AT26" i="17"/>
  <c r="AT10" i="17"/>
  <c r="G367" i="10"/>
  <c r="AC383" i="10"/>
  <c r="AU24" i="17"/>
  <c r="AU23" i="17" s="1"/>
  <c r="AV11" i="17"/>
  <c r="AV10" i="17"/>
  <c r="AU36" i="17"/>
  <c r="AU34" i="17"/>
  <c r="AU32" i="17"/>
  <c r="AC375" i="10"/>
  <c r="AT38" i="17"/>
  <c r="AT25" i="17" s="1"/>
  <c r="AC384" i="10"/>
  <c r="AU9" i="17"/>
  <c r="AX26" i="17"/>
  <c r="N369" i="10"/>
  <c r="AC399" i="10"/>
  <c r="AN13" i="17"/>
  <c r="C495" i="10"/>
  <c r="N239" i="10"/>
  <c r="M495" i="10"/>
  <c r="P369" i="10"/>
  <c r="H415" i="10"/>
  <c r="R327" i="10"/>
  <c r="AC391" i="10"/>
  <c r="E455" i="10"/>
  <c r="I327" i="10"/>
  <c r="K327" i="10"/>
  <c r="G239" i="10"/>
  <c r="Z239" i="10"/>
  <c r="I239" i="10"/>
  <c r="Y239" i="10"/>
  <c r="S191" i="10"/>
  <c r="I495" i="10"/>
  <c r="AC585" i="10"/>
  <c r="J415" i="10"/>
  <c r="J455" i="10"/>
  <c r="X239" i="10"/>
  <c r="F367" i="10"/>
  <c r="Q369" i="10"/>
  <c r="AC400" i="10"/>
  <c r="J495" i="10"/>
  <c r="P327" i="10"/>
  <c r="F455" i="10"/>
  <c r="J327" i="10"/>
  <c r="C327" i="10"/>
  <c r="U415" i="10"/>
  <c r="B327" i="10"/>
  <c r="E327" i="10"/>
  <c r="S415" i="10"/>
  <c r="AC393" i="10"/>
  <c r="Q368" i="10"/>
  <c r="N327" i="10"/>
  <c r="G327" i="10"/>
  <c r="E239" i="10"/>
  <c r="AC409" i="10"/>
  <c r="S193" i="10"/>
  <c r="D367" i="10"/>
  <c r="N367" i="10"/>
  <c r="AC365" i="10"/>
  <c r="X37" i="12" s="1"/>
  <c r="AC366" i="10"/>
  <c r="X23" i="12" s="1"/>
  <c r="AC392" i="10"/>
  <c r="AC401" i="10"/>
  <c r="AC364" i="10"/>
  <c r="X9" i="12" s="1"/>
  <c r="AC385" i="10"/>
  <c r="AC408" i="10"/>
  <c r="AC377" i="10"/>
  <c r="AC376" i="10"/>
  <c r="O327" i="10"/>
  <c r="H327" i="10"/>
  <c r="C415" i="10"/>
  <c r="S192" i="10"/>
  <c r="H239" i="10"/>
  <c r="T193" i="10"/>
  <c r="T191" i="10"/>
  <c r="U193" i="10"/>
  <c r="D327" i="10"/>
  <c r="T192" i="10"/>
  <c r="D239" i="10"/>
  <c r="J239" i="10"/>
  <c r="B239" i="10"/>
  <c r="U192" i="10"/>
  <c r="F239" i="10"/>
  <c r="Y18" i="17"/>
  <c r="Z18" i="17"/>
  <c r="AA18" i="17"/>
  <c r="Y7" i="17"/>
  <c r="K42" i="17"/>
  <c r="K39" i="17"/>
  <c r="K35" i="17"/>
  <c r="K33" i="17"/>
  <c r="K31" i="17"/>
  <c r="K30" i="17"/>
  <c r="K29" i="17"/>
  <c r="K28" i="17"/>
  <c r="K27" i="17"/>
  <c r="H44" i="17"/>
  <c r="I44" i="17" s="1"/>
  <c r="H43" i="17"/>
  <c r="H42" i="17"/>
  <c r="H39" i="17"/>
  <c r="H35" i="17"/>
  <c r="H33" i="17"/>
  <c r="H31" i="17"/>
  <c r="H30" i="17"/>
  <c r="H29" i="17"/>
  <c r="H28" i="17"/>
  <c r="H27" i="17"/>
  <c r="E44" i="17"/>
  <c r="E43" i="17"/>
  <c r="E42" i="17"/>
  <c r="E40" i="17"/>
  <c r="E39" i="17"/>
  <c r="E35" i="17"/>
  <c r="E33" i="17"/>
  <c r="E31" i="17"/>
  <c r="E30" i="17"/>
  <c r="E29" i="17"/>
  <c r="E28" i="17"/>
  <c r="E27" i="17"/>
  <c r="B43" i="17"/>
  <c r="B42" i="17"/>
  <c r="B41" i="17"/>
  <c r="B40" i="17"/>
  <c r="B39" i="17"/>
  <c r="B35" i="17"/>
  <c r="B33" i="17"/>
  <c r="B31" i="17"/>
  <c r="B30" i="17"/>
  <c r="B29" i="17"/>
  <c r="B28" i="17"/>
  <c r="B27" i="17"/>
  <c r="K21" i="17"/>
  <c r="L21" i="17" s="1"/>
  <c r="K20" i="17"/>
  <c r="K19" i="17"/>
  <c r="H21" i="17"/>
  <c r="I21" i="17" s="1"/>
  <c r="H20" i="17"/>
  <c r="H19" i="17"/>
  <c r="E21" i="17"/>
  <c r="F21" i="17" s="1"/>
  <c r="E20" i="17"/>
  <c r="E19" i="17"/>
  <c r="B21" i="17"/>
  <c r="C21" i="17" s="1"/>
  <c r="B20" i="17"/>
  <c r="B19" i="17"/>
  <c r="C19" i="17" s="1"/>
  <c r="K18" i="17"/>
  <c r="H18" i="17"/>
  <c r="E18" i="17"/>
  <c r="B18" i="17"/>
  <c r="K17" i="17"/>
  <c r="H17" i="17"/>
  <c r="E17" i="17"/>
  <c r="B17" i="17"/>
  <c r="H16" i="17"/>
  <c r="I16" i="17" s="1"/>
  <c r="E16" i="17"/>
  <c r="F16" i="17" s="1"/>
  <c r="B16" i="17"/>
  <c r="C16" i="17" s="1"/>
  <c r="K15" i="17"/>
  <c r="H15" i="17"/>
  <c r="E15" i="17"/>
  <c r="B15" i="17"/>
  <c r="K6" i="17"/>
  <c r="K5" i="17"/>
  <c r="K4" i="17"/>
  <c r="K3" i="17"/>
  <c r="H6" i="17"/>
  <c r="H5" i="17"/>
  <c r="H4" i="17"/>
  <c r="I4" i="17" s="1"/>
  <c r="H3" i="17"/>
  <c r="E6" i="17"/>
  <c r="E5" i="17"/>
  <c r="E4" i="17"/>
  <c r="F4" i="17" s="1"/>
  <c r="E3" i="17"/>
  <c r="B6" i="17"/>
  <c r="B5" i="17"/>
  <c r="B4" i="17"/>
  <c r="C4" i="17" s="1"/>
  <c r="B3" i="17"/>
  <c r="E2" i="17"/>
  <c r="B2" i="17"/>
  <c r="BO34" i="17" l="1"/>
  <c r="BO36" i="17"/>
  <c r="BO23" i="17"/>
  <c r="BO12" i="17" s="1"/>
  <c r="BO32" i="17"/>
  <c r="BO11" i="17"/>
  <c r="BP26" i="17"/>
  <c r="BP25" i="17"/>
  <c r="BP23" i="17"/>
  <c r="BP12" i="17" s="1"/>
  <c r="BO26" i="17"/>
  <c r="BO25" i="17"/>
  <c r="BP10" i="17"/>
  <c r="BP11" i="17"/>
  <c r="AX11" i="17"/>
  <c r="AW13" i="17"/>
  <c r="AU37" i="17"/>
  <c r="AV13" i="17"/>
  <c r="AU12" i="17"/>
  <c r="AT11" i="17"/>
  <c r="AW37" i="17"/>
  <c r="AU10" i="17"/>
  <c r="AU11" i="17"/>
  <c r="AX36" i="17"/>
  <c r="AX23" i="17"/>
  <c r="AX12" i="17" s="1"/>
  <c r="AX34" i="17"/>
  <c r="AX32" i="17"/>
  <c r="AT34" i="17"/>
  <c r="AT23" i="17"/>
  <c r="AT12" i="17" s="1"/>
  <c r="AT13" i="17" s="1"/>
  <c r="AT32" i="17"/>
  <c r="AT36" i="17"/>
  <c r="AU26" i="17"/>
  <c r="AU25" i="17"/>
  <c r="AV37" i="17"/>
  <c r="AC367" i="10"/>
  <c r="AC368" i="10"/>
  <c r="AC369" i="10"/>
  <c r="S115" i="8"/>
  <c r="U115" i="8"/>
  <c r="F115" i="8"/>
  <c r="H115" i="8"/>
  <c r="Y118" i="8"/>
  <c r="Y119" i="8" s="1"/>
  <c r="Y120" i="8" s="1"/>
  <c r="X118" i="8"/>
  <c r="X119" i="8" s="1"/>
  <c r="X120" i="8" s="1"/>
  <c r="W118" i="8"/>
  <c r="W119" i="8" s="1"/>
  <c r="W120" i="8" s="1"/>
  <c r="V118" i="8"/>
  <c r="R118" i="8"/>
  <c r="R119" i="8" s="1"/>
  <c r="R120" i="8" s="1"/>
  <c r="Q118" i="8"/>
  <c r="Q119" i="8" s="1"/>
  <c r="Q120" i="8" s="1"/>
  <c r="P118" i="8"/>
  <c r="P119" i="8" s="1"/>
  <c r="P120" i="8" s="1"/>
  <c r="O118" i="8"/>
  <c r="Y117" i="8"/>
  <c r="X117" i="8"/>
  <c r="W117" i="8"/>
  <c r="V117" i="8"/>
  <c r="V121" i="8" s="1"/>
  <c r="R117" i="8"/>
  <c r="R121" i="8" s="1"/>
  <c r="Q117" i="8"/>
  <c r="P117" i="8"/>
  <c r="O117" i="8"/>
  <c r="U114" i="8"/>
  <c r="S114" i="8"/>
  <c r="U113" i="8"/>
  <c r="S113" i="8"/>
  <c r="U112" i="8"/>
  <c r="S112" i="8"/>
  <c r="T112" i="8" s="1"/>
  <c r="U111" i="8"/>
  <c r="S111" i="8"/>
  <c r="U110" i="8"/>
  <c r="S110" i="8"/>
  <c r="U109" i="8"/>
  <c r="S109" i="8"/>
  <c r="U108" i="8"/>
  <c r="S108" i="8"/>
  <c r="T108" i="8" s="1"/>
  <c r="U107" i="8"/>
  <c r="S107" i="8"/>
  <c r="U106" i="8"/>
  <c r="S106" i="8"/>
  <c r="T106" i="8" s="1"/>
  <c r="S87" i="8"/>
  <c r="U87" i="8"/>
  <c r="T87" i="8" s="1"/>
  <c r="S88" i="8"/>
  <c r="U88" i="8"/>
  <c r="S89" i="8"/>
  <c r="U89" i="8"/>
  <c r="S90" i="8"/>
  <c r="U90" i="8"/>
  <c r="S91" i="8"/>
  <c r="U91" i="8"/>
  <c r="U86" i="8"/>
  <c r="S86" i="8"/>
  <c r="AF87" i="8"/>
  <c r="AH87" i="8"/>
  <c r="AF88" i="8"/>
  <c r="AH88" i="8"/>
  <c r="AF89" i="8"/>
  <c r="AH89" i="8"/>
  <c r="AF90" i="8"/>
  <c r="AH90" i="8"/>
  <c r="AF91" i="8"/>
  <c r="AH91" i="8"/>
  <c r="AF92" i="8"/>
  <c r="AH92" i="8"/>
  <c r="AF93" i="8"/>
  <c r="AH93" i="8"/>
  <c r="AF94" i="8"/>
  <c r="AH94" i="8"/>
  <c r="AH86" i="8"/>
  <c r="AF86" i="8"/>
  <c r="AL97" i="8"/>
  <c r="AK97" i="8"/>
  <c r="AK98" i="8" s="1"/>
  <c r="AK99" i="8" s="1"/>
  <c r="AJ97" i="8"/>
  <c r="AJ98" i="8" s="1"/>
  <c r="AJ99" i="8" s="1"/>
  <c r="AI97" i="8"/>
  <c r="AI98" i="8" s="1"/>
  <c r="AE97" i="8"/>
  <c r="AE98" i="8" s="1"/>
  <c r="AE99" i="8" s="1"/>
  <c r="AD97" i="8"/>
  <c r="AD98" i="8" s="1"/>
  <c r="AD99" i="8" s="1"/>
  <c r="AC97" i="8"/>
  <c r="AB97" i="8"/>
  <c r="AL96" i="8"/>
  <c r="AL100" i="8" s="1"/>
  <c r="AK96" i="8"/>
  <c r="AJ96" i="8"/>
  <c r="AI96" i="8"/>
  <c r="AE96" i="8"/>
  <c r="AD96" i="8"/>
  <c r="AC96" i="8"/>
  <c r="AC100" i="8" s="1"/>
  <c r="AB96" i="8"/>
  <c r="Y97" i="8"/>
  <c r="Y98" i="8" s="1"/>
  <c r="Y99" i="8" s="1"/>
  <c r="X97" i="8"/>
  <c r="W97" i="8"/>
  <c r="W98" i="8" s="1"/>
  <c r="W99" i="8" s="1"/>
  <c r="V97" i="8"/>
  <c r="V98" i="8" s="1"/>
  <c r="R97" i="8"/>
  <c r="R98" i="8" s="1"/>
  <c r="R99" i="8" s="1"/>
  <c r="Q97" i="8"/>
  <c r="Q98" i="8" s="1"/>
  <c r="Q99" i="8" s="1"/>
  <c r="P97" i="8"/>
  <c r="P98" i="8" s="1"/>
  <c r="P99" i="8" s="1"/>
  <c r="O97" i="8"/>
  <c r="Y96" i="8"/>
  <c r="X96" i="8"/>
  <c r="X100" i="8" s="1"/>
  <c r="W96" i="8"/>
  <c r="W100" i="8" s="1"/>
  <c r="V96" i="8"/>
  <c r="R96" i="8"/>
  <c r="R100" i="8" s="1"/>
  <c r="Q96" i="8"/>
  <c r="Q100" i="8" s="1"/>
  <c r="P96" i="8"/>
  <c r="O96" i="8"/>
  <c r="O100" i="8" s="1"/>
  <c r="AF58" i="8"/>
  <c r="AH58" i="8"/>
  <c r="AF50" i="8"/>
  <c r="AH50" i="8"/>
  <c r="AF51" i="8"/>
  <c r="AH51" i="8"/>
  <c r="AF52" i="8"/>
  <c r="AH52" i="8"/>
  <c r="AF53" i="8"/>
  <c r="AH53" i="8"/>
  <c r="AF54" i="8"/>
  <c r="AH54" i="8"/>
  <c r="AF55" i="8"/>
  <c r="AH55" i="8"/>
  <c r="AF56" i="8"/>
  <c r="AH56" i="8"/>
  <c r="AF57" i="8"/>
  <c r="AH57" i="8"/>
  <c r="AH49" i="8"/>
  <c r="AF49" i="8"/>
  <c r="AL72" i="8"/>
  <c r="AL73" i="8" s="1"/>
  <c r="AL74" i="8" s="1"/>
  <c r="AK72" i="8"/>
  <c r="AJ72" i="8"/>
  <c r="AJ73" i="8" s="1"/>
  <c r="AJ74" i="8" s="1"/>
  <c r="AI72" i="8"/>
  <c r="AI73" i="8" s="1"/>
  <c r="AE72" i="8"/>
  <c r="AE73" i="8" s="1"/>
  <c r="AE74" i="8" s="1"/>
  <c r="AD72" i="8"/>
  <c r="AD73" i="8" s="1"/>
  <c r="AD74" i="8" s="1"/>
  <c r="AC72" i="8"/>
  <c r="AC73" i="8" s="1"/>
  <c r="AC74" i="8" s="1"/>
  <c r="AB72" i="8"/>
  <c r="AL71" i="8"/>
  <c r="AK71" i="8"/>
  <c r="AJ71" i="8"/>
  <c r="AI71" i="8"/>
  <c r="AE71" i="8"/>
  <c r="AD71" i="8"/>
  <c r="AD75" i="8" s="1"/>
  <c r="AC71" i="8"/>
  <c r="AB71" i="8"/>
  <c r="S50" i="8"/>
  <c r="U50" i="8"/>
  <c r="S51" i="8"/>
  <c r="U51" i="8"/>
  <c r="S52" i="8"/>
  <c r="U52" i="8"/>
  <c r="S53" i="8"/>
  <c r="U53" i="8"/>
  <c r="S54" i="8"/>
  <c r="U54" i="8"/>
  <c r="S55" i="8"/>
  <c r="U55" i="8"/>
  <c r="S56" i="8"/>
  <c r="U56" i="8"/>
  <c r="U49" i="8"/>
  <c r="S49" i="8"/>
  <c r="S47" i="8" s="1"/>
  <c r="Y72" i="8"/>
  <c r="X72" i="8"/>
  <c r="X73" i="8" s="1"/>
  <c r="X74" i="8" s="1"/>
  <c r="W72" i="8"/>
  <c r="W73" i="8" s="1"/>
  <c r="W74" i="8" s="1"/>
  <c r="V72" i="8"/>
  <c r="V73" i="8" s="1"/>
  <c r="R72" i="8"/>
  <c r="R73" i="8" s="1"/>
  <c r="R74" i="8" s="1"/>
  <c r="Q72" i="8"/>
  <c r="Q73" i="8" s="1"/>
  <c r="Q74" i="8" s="1"/>
  <c r="P72" i="8"/>
  <c r="O72" i="8"/>
  <c r="Y71" i="8"/>
  <c r="X71" i="8"/>
  <c r="W71" i="8"/>
  <c r="V71" i="8"/>
  <c r="R71" i="8"/>
  <c r="Q71" i="8"/>
  <c r="P71" i="8"/>
  <c r="O71" i="8"/>
  <c r="F62" i="8"/>
  <c r="H62" i="8"/>
  <c r="F63" i="8"/>
  <c r="H63" i="8"/>
  <c r="F64" i="8"/>
  <c r="H64" i="8"/>
  <c r="F65" i="8"/>
  <c r="H65" i="8"/>
  <c r="F66" i="8"/>
  <c r="H66" i="8"/>
  <c r="F67" i="8"/>
  <c r="H67" i="8"/>
  <c r="F68" i="8"/>
  <c r="H68" i="8"/>
  <c r="F69" i="8"/>
  <c r="H69" i="8"/>
  <c r="F107" i="8"/>
  <c r="H107" i="8"/>
  <c r="F108" i="8"/>
  <c r="H108" i="8"/>
  <c r="F109" i="8"/>
  <c r="G109" i="8" s="1"/>
  <c r="H109" i="8"/>
  <c r="F110" i="8"/>
  <c r="H110" i="8"/>
  <c r="F111" i="8"/>
  <c r="H111" i="8"/>
  <c r="F112" i="8"/>
  <c r="H112" i="8"/>
  <c r="F113" i="8"/>
  <c r="H113" i="8"/>
  <c r="F114" i="8"/>
  <c r="H114" i="8"/>
  <c r="H106" i="8"/>
  <c r="F106" i="8"/>
  <c r="F87" i="8"/>
  <c r="H87" i="8"/>
  <c r="F88" i="8"/>
  <c r="H88" i="8"/>
  <c r="F89" i="8"/>
  <c r="H89" i="8"/>
  <c r="F90" i="8"/>
  <c r="H90" i="8"/>
  <c r="F91" i="8"/>
  <c r="H91" i="8"/>
  <c r="F92" i="8"/>
  <c r="H92" i="8"/>
  <c r="F93" i="8"/>
  <c r="H93" i="8"/>
  <c r="F94" i="8"/>
  <c r="H94" i="8"/>
  <c r="H86" i="8"/>
  <c r="F86" i="8"/>
  <c r="B96" i="8"/>
  <c r="C96" i="8"/>
  <c r="D96" i="8"/>
  <c r="E96" i="8"/>
  <c r="I96" i="8"/>
  <c r="J96" i="8"/>
  <c r="K96" i="8"/>
  <c r="L96" i="8"/>
  <c r="B97" i="8"/>
  <c r="B98" i="8" s="1"/>
  <c r="B99" i="8" s="1"/>
  <c r="C97" i="8"/>
  <c r="C98" i="8" s="1"/>
  <c r="C99" i="8" s="1"/>
  <c r="D97" i="8"/>
  <c r="D98" i="8" s="1"/>
  <c r="E97" i="8"/>
  <c r="E98" i="8" s="1"/>
  <c r="I97" i="8"/>
  <c r="I98" i="8" s="1"/>
  <c r="J97" i="8"/>
  <c r="J98" i="8" s="1"/>
  <c r="J99" i="8" s="1"/>
  <c r="K97" i="8"/>
  <c r="K100" i="8" s="1"/>
  <c r="L97" i="8"/>
  <c r="L98" i="8" s="1"/>
  <c r="L99" i="8" s="1"/>
  <c r="B117" i="8"/>
  <c r="C117" i="8"/>
  <c r="D117" i="8"/>
  <c r="E117" i="8"/>
  <c r="I117" i="8"/>
  <c r="J117" i="8"/>
  <c r="K117" i="8"/>
  <c r="L117" i="8"/>
  <c r="B118" i="8"/>
  <c r="B119" i="8" s="1"/>
  <c r="C118" i="8"/>
  <c r="C121" i="8" s="1"/>
  <c r="D118" i="8"/>
  <c r="E118" i="8"/>
  <c r="E119" i="8" s="1"/>
  <c r="E120" i="8" s="1"/>
  <c r="I118" i="8"/>
  <c r="I119" i="8" s="1"/>
  <c r="I120" i="8" s="1"/>
  <c r="J118" i="8"/>
  <c r="J119" i="8" s="1"/>
  <c r="J120" i="8" s="1"/>
  <c r="K118" i="8"/>
  <c r="L118" i="8"/>
  <c r="K119" i="8"/>
  <c r="K122" i="8" s="1"/>
  <c r="F60" i="8"/>
  <c r="H60" i="8"/>
  <c r="F61" i="8"/>
  <c r="H61" i="8"/>
  <c r="F50" i="8"/>
  <c r="H50" i="8"/>
  <c r="F51" i="8"/>
  <c r="H51" i="8"/>
  <c r="F52" i="8"/>
  <c r="H52" i="8"/>
  <c r="F53" i="8"/>
  <c r="H53" i="8"/>
  <c r="F54" i="8"/>
  <c r="H54" i="8"/>
  <c r="F55" i="8"/>
  <c r="H55" i="8"/>
  <c r="F56" i="8"/>
  <c r="H56" i="8"/>
  <c r="F57" i="8"/>
  <c r="H57" i="8"/>
  <c r="F58" i="8"/>
  <c r="H58" i="8"/>
  <c r="F59" i="8"/>
  <c r="H59" i="8"/>
  <c r="H49" i="8"/>
  <c r="F49" i="8"/>
  <c r="L72" i="8"/>
  <c r="L73" i="8" s="1"/>
  <c r="L74" i="8" s="1"/>
  <c r="K72" i="8"/>
  <c r="K73" i="8" s="1"/>
  <c r="K74" i="8" s="1"/>
  <c r="J72" i="8"/>
  <c r="J73" i="8" s="1"/>
  <c r="J74" i="8" s="1"/>
  <c r="I72" i="8"/>
  <c r="E72" i="8"/>
  <c r="E73" i="8" s="1"/>
  <c r="E74" i="8" s="1"/>
  <c r="D72" i="8"/>
  <c r="D73" i="8" s="1"/>
  <c r="D74" i="8" s="1"/>
  <c r="C72" i="8"/>
  <c r="B72" i="8"/>
  <c r="B73" i="8" s="1"/>
  <c r="B74" i="8" s="1"/>
  <c r="L71" i="8"/>
  <c r="L75" i="8" s="1"/>
  <c r="K71" i="8"/>
  <c r="J71" i="8"/>
  <c r="I71" i="8"/>
  <c r="E71" i="8"/>
  <c r="D71" i="8"/>
  <c r="C71" i="8"/>
  <c r="H68" i="7"/>
  <c r="S54" i="7"/>
  <c r="U54" i="7"/>
  <c r="S55" i="7"/>
  <c r="U55" i="7"/>
  <c r="F55" i="7"/>
  <c r="H55" i="7"/>
  <c r="F56" i="7"/>
  <c r="H56" i="7"/>
  <c r="BP13" i="17" l="1"/>
  <c r="BO37" i="17"/>
  <c r="BO13" i="17"/>
  <c r="AX13" i="17"/>
  <c r="AU13" i="17"/>
  <c r="AT37" i="17"/>
  <c r="AX37" i="17"/>
  <c r="W121" i="8"/>
  <c r="T110" i="8"/>
  <c r="T114" i="8"/>
  <c r="Y122" i="8"/>
  <c r="X121" i="8"/>
  <c r="T109" i="8"/>
  <c r="T113" i="8"/>
  <c r="T115" i="8"/>
  <c r="O121" i="8"/>
  <c r="G113" i="8"/>
  <c r="K121" i="8"/>
  <c r="G106" i="8"/>
  <c r="G115" i="8"/>
  <c r="J121" i="8"/>
  <c r="Q121" i="8"/>
  <c r="I121" i="8"/>
  <c r="AI100" i="8"/>
  <c r="AG93" i="8"/>
  <c r="AG89" i="8"/>
  <c r="AG92" i="8"/>
  <c r="AG87" i="8"/>
  <c r="AG88" i="8"/>
  <c r="G107" i="8"/>
  <c r="AG91" i="8"/>
  <c r="S104" i="8"/>
  <c r="G114" i="8"/>
  <c r="G110" i="8"/>
  <c r="AJ101" i="8"/>
  <c r="AG94" i="8"/>
  <c r="AG90" i="8"/>
  <c r="U104" i="8"/>
  <c r="T111" i="8"/>
  <c r="AK101" i="8"/>
  <c r="S118" i="8"/>
  <c r="H118" i="8"/>
  <c r="AE100" i="8"/>
  <c r="AD100" i="8"/>
  <c r="AF97" i="8"/>
  <c r="AB98" i="8"/>
  <c r="AB101" i="8" s="1"/>
  <c r="T90" i="8"/>
  <c r="T88" i="8"/>
  <c r="T89" i="8"/>
  <c r="T91" i="8"/>
  <c r="V101" i="8"/>
  <c r="U97" i="8"/>
  <c r="Y101" i="8"/>
  <c r="S97" i="8"/>
  <c r="P101" i="8"/>
  <c r="J100" i="8"/>
  <c r="G88" i="8"/>
  <c r="G91" i="8"/>
  <c r="G87" i="8"/>
  <c r="G89" i="8"/>
  <c r="B100" i="8"/>
  <c r="P122" i="8"/>
  <c r="V119" i="8"/>
  <c r="V122" i="8" s="1"/>
  <c r="X122" i="8"/>
  <c r="S117" i="8"/>
  <c r="O119" i="8"/>
  <c r="O122" i="8" s="1"/>
  <c r="Q122" i="8"/>
  <c r="U117" i="8"/>
  <c r="R122" i="8"/>
  <c r="U118" i="8"/>
  <c r="T107" i="8"/>
  <c r="P121" i="8"/>
  <c r="Y121" i="8"/>
  <c r="W122" i="8"/>
  <c r="AI99" i="8"/>
  <c r="AD101" i="8"/>
  <c r="AC98" i="8"/>
  <c r="AC99" i="8" s="1"/>
  <c r="AL98" i="8"/>
  <c r="AL99" i="8" s="1"/>
  <c r="AE101" i="8"/>
  <c r="AB99" i="8"/>
  <c r="AH97" i="8"/>
  <c r="AJ100" i="8"/>
  <c r="AB100" i="8"/>
  <c r="AK100" i="8"/>
  <c r="AI101" i="8"/>
  <c r="S96" i="8"/>
  <c r="O98" i="8"/>
  <c r="O101" i="8" s="1"/>
  <c r="X98" i="8"/>
  <c r="X99" i="8" s="1"/>
  <c r="V99" i="8"/>
  <c r="R101" i="8"/>
  <c r="V100" i="8"/>
  <c r="S84" i="8"/>
  <c r="P100" i="8"/>
  <c r="Y100" i="8"/>
  <c r="W101" i="8"/>
  <c r="V75" i="8"/>
  <c r="G90" i="8"/>
  <c r="D100" i="8"/>
  <c r="G93" i="8"/>
  <c r="C100" i="8"/>
  <c r="E122" i="8"/>
  <c r="F118" i="8"/>
  <c r="L100" i="8"/>
  <c r="F117" i="8"/>
  <c r="G112" i="8"/>
  <c r="G108" i="8"/>
  <c r="AG56" i="8"/>
  <c r="AG52" i="8"/>
  <c r="AG57" i="8"/>
  <c r="AK75" i="8"/>
  <c r="AG55" i="8"/>
  <c r="AG51" i="8"/>
  <c r="AG50" i="8"/>
  <c r="AG53" i="8"/>
  <c r="AG58" i="8"/>
  <c r="AE75" i="8"/>
  <c r="AB75" i="8"/>
  <c r="AG54" i="8"/>
  <c r="AJ75" i="8"/>
  <c r="AL76" i="8"/>
  <c r="AC76" i="8"/>
  <c r="AI76" i="8"/>
  <c r="AH72" i="8"/>
  <c r="AF71" i="8"/>
  <c r="AB73" i="8"/>
  <c r="AB76" i="8" s="1"/>
  <c r="AK73" i="8"/>
  <c r="AK74" i="8" s="1"/>
  <c r="AI74" i="8"/>
  <c r="AD76" i="8"/>
  <c r="AE76" i="8"/>
  <c r="AF72" i="8"/>
  <c r="AI75" i="8"/>
  <c r="AF47" i="8"/>
  <c r="AC75" i="8"/>
  <c r="AL75" i="8"/>
  <c r="AJ76" i="8"/>
  <c r="T56" i="8"/>
  <c r="X76" i="8"/>
  <c r="T55" i="8"/>
  <c r="T54" i="8"/>
  <c r="P75" i="8"/>
  <c r="T53" i="8"/>
  <c r="Y75" i="8"/>
  <c r="T52" i="8"/>
  <c r="V76" i="8"/>
  <c r="T51" i="8"/>
  <c r="W76" i="8"/>
  <c r="T50" i="8"/>
  <c r="Q75" i="8"/>
  <c r="R75" i="8"/>
  <c r="S72" i="8"/>
  <c r="O73" i="8"/>
  <c r="V74" i="8"/>
  <c r="Q76" i="8"/>
  <c r="P73" i="8"/>
  <c r="P74" i="8" s="1"/>
  <c r="Y73" i="8"/>
  <c r="Y74" i="8" s="1"/>
  <c r="R76" i="8"/>
  <c r="S71" i="8"/>
  <c r="U72" i="8"/>
  <c r="W75" i="8"/>
  <c r="O75" i="8"/>
  <c r="X75" i="8"/>
  <c r="G60" i="8"/>
  <c r="G55" i="8"/>
  <c r="G69" i="8"/>
  <c r="G65" i="8"/>
  <c r="G61" i="8"/>
  <c r="G68" i="8"/>
  <c r="G53" i="8"/>
  <c r="G67" i="8"/>
  <c r="G52" i="8"/>
  <c r="G62" i="8"/>
  <c r="G58" i="8"/>
  <c r="G54" i="8"/>
  <c r="G51" i="8"/>
  <c r="G57" i="8"/>
  <c r="G64" i="8"/>
  <c r="G50" i="8"/>
  <c r="F97" i="8"/>
  <c r="B101" i="8"/>
  <c r="G111" i="8"/>
  <c r="E121" i="8"/>
  <c r="F84" i="8"/>
  <c r="B121" i="8"/>
  <c r="G92" i="8"/>
  <c r="G63" i="8"/>
  <c r="J122" i="8"/>
  <c r="J101" i="8"/>
  <c r="G66" i="8"/>
  <c r="I122" i="8"/>
  <c r="K98" i="8"/>
  <c r="K99" i="8" s="1"/>
  <c r="H97" i="8"/>
  <c r="G59" i="8"/>
  <c r="G94" i="8"/>
  <c r="E75" i="8"/>
  <c r="D75" i="8"/>
  <c r="C75" i="8"/>
  <c r="F104" i="8"/>
  <c r="H96" i="8"/>
  <c r="G86" i="8"/>
  <c r="F96" i="8"/>
  <c r="I101" i="8"/>
  <c r="I99" i="8"/>
  <c r="E99" i="8"/>
  <c r="E101" i="8"/>
  <c r="D99" i="8"/>
  <c r="D101" i="8"/>
  <c r="K120" i="8"/>
  <c r="B120" i="8"/>
  <c r="L119" i="8"/>
  <c r="C119" i="8"/>
  <c r="H117" i="8"/>
  <c r="I100" i="8"/>
  <c r="B122" i="8"/>
  <c r="D121" i="8"/>
  <c r="L101" i="8"/>
  <c r="C101" i="8"/>
  <c r="E100" i="8"/>
  <c r="L121" i="8"/>
  <c r="F98" i="8"/>
  <c r="D119" i="8"/>
  <c r="E76" i="8"/>
  <c r="G56" i="8"/>
  <c r="K76" i="8"/>
  <c r="G49" i="8"/>
  <c r="J76" i="8"/>
  <c r="I73" i="8"/>
  <c r="I76" i="8" s="1"/>
  <c r="B76" i="8"/>
  <c r="X249" i="10" s="1"/>
  <c r="X241" i="10" s="1"/>
  <c r="L76" i="8"/>
  <c r="D76" i="8"/>
  <c r="C73" i="8"/>
  <c r="C76" i="8" s="1"/>
  <c r="F72" i="8"/>
  <c r="I75" i="8"/>
  <c r="H72" i="8"/>
  <c r="J75" i="8"/>
  <c r="K75" i="8"/>
  <c r="B75" i="8"/>
  <c r="X248" i="10" s="1"/>
  <c r="X240" i="10" s="1"/>
  <c r="T54" i="7"/>
  <c r="T55" i="7"/>
  <c r="G55" i="7"/>
  <c r="G56" i="7"/>
  <c r="B204" i="10"/>
  <c r="C204" i="10"/>
  <c r="D204" i="10"/>
  <c r="E204" i="10"/>
  <c r="F204" i="10"/>
  <c r="G204" i="10"/>
  <c r="B205" i="10"/>
  <c r="C205" i="10"/>
  <c r="D205" i="10"/>
  <c r="E205" i="10"/>
  <c r="F205" i="10"/>
  <c r="G205" i="10"/>
  <c r="B206" i="10"/>
  <c r="C206" i="10"/>
  <c r="D206" i="10"/>
  <c r="E206" i="10"/>
  <c r="F206" i="10"/>
  <c r="G206" i="10"/>
  <c r="B207" i="10"/>
  <c r="C207" i="10"/>
  <c r="D207" i="10"/>
  <c r="E207" i="10"/>
  <c r="F207" i="10"/>
  <c r="G207" i="10"/>
  <c r="B208" i="10"/>
  <c r="C208" i="10"/>
  <c r="D208" i="10"/>
  <c r="E208" i="10"/>
  <c r="F208" i="10"/>
  <c r="G208" i="10"/>
  <c r="B209" i="10"/>
  <c r="C209" i="10"/>
  <c r="D209" i="10"/>
  <c r="E209" i="10"/>
  <c r="F209" i="10"/>
  <c r="G209" i="10"/>
  <c r="O193" i="10"/>
  <c r="N193" i="10"/>
  <c r="O192" i="10"/>
  <c r="N192" i="10"/>
  <c r="O191" i="10"/>
  <c r="N191" i="10"/>
  <c r="BK60" i="14"/>
  <c r="BL60" i="14"/>
  <c r="BM60" i="14"/>
  <c r="BJ60" i="14"/>
  <c r="BD60" i="14"/>
  <c r="BE60" i="14"/>
  <c r="BF60" i="14"/>
  <c r="BC60" i="14"/>
  <c r="CK102" i="14"/>
  <c r="G556" i="10" s="1"/>
  <c r="CL102" i="14"/>
  <c r="G564" i="10" s="1"/>
  <c r="CM102" i="14"/>
  <c r="CJ102" i="14"/>
  <c r="CD102" i="14"/>
  <c r="CE102" i="14"/>
  <c r="CF102" i="14"/>
  <c r="CC102" i="14"/>
  <c r="M233" i="10"/>
  <c r="L233" i="10"/>
  <c r="K233" i="10"/>
  <c r="J233" i="10"/>
  <c r="H233" i="10"/>
  <c r="G233" i="10"/>
  <c r="F233" i="10"/>
  <c r="E233" i="10"/>
  <c r="D233" i="10"/>
  <c r="C233" i="10"/>
  <c r="B233" i="10"/>
  <c r="M232" i="10"/>
  <c r="K232" i="10"/>
  <c r="J232" i="10"/>
  <c r="H232" i="10"/>
  <c r="G232" i="10"/>
  <c r="F232" i="10"/>
  <c r="E232" i="10"/>
  <c r="D232" i="10"/>
  <c r="C232" i="10"/>
  <c r="B232" i="10"/>
  <c r="M231" i="10"/>
  <c r="L231" i="10"/>
  <c r="K231" i="10"/>
  <c r="J231" i="10"/>
  <c r="I231" i="10"/>
  <c r="H231" i="10"/>
  <c r="G231" i="10"/>
  <c r="F231" i="10"/>
  <c r="E231" i="10"/>
  <c r="D231" i="10"/>
  <c r="C231" i="10"/>
  <c r="B231" i="10"/>
  <c r="M230" i="10"/>
  <c r="L230" i="10"/>
  <c r="K230" i="10"/>
  <c r="J230" i="10"/>
  <c r="I230" i="10"/>
  <c r="H230" i="10"/>
  <c r="G230" i="10"/>
  <c r="F230" i="10"/>
  <c r="E230" i="10"/>
  <c r="D230" i="10"/>
  <c r="C230" i="10"/>
  <c r="B230" i="10"/>
  <c r="M229" i="10"/>
  <c r="L229" i="10"/>
  <c r="K229" i="10"/>
  <c r="J229" i="10"/>
  <c r="I229" i="10"/>
  <c r="H229" i="10"/>
  <c r="G229" i="10"/>
  <c r="F229" i="10"/>
  <c r="E229" i="10"/>
  <c r="D229" i="10"/>
  <c r="C229" i="10"/>
  <c r="B229" i="10"/>
  <c r="M225" i="10"/>
  <c r="K225" i="10"/>
  <c r="J225" i="10"/>
  <c r="H225" i="10"/>
  <c r="G225" i="10"/>
  <c r="F225" i="10"/>
  <c r="E225" i="10"/>
  <c r="D225" i="10"/>
  <c r="C225" i="10"/>
  <c r="B225" i="10"/>
  <c r="M224" i="10"/>
  <c r="K224" i="10"/>
  <c r="J224" i="10"/>
  <c r="H224" i="10"/>
  <c r="G224" i="10"/>
  <c r="F224" i="10"/>
  <c r="E224" i="10"/>
  <c r="D224" i="10"/>
  <c r="C224" i="10"/>
  <c r="B224" i="10"/>
  <c r="M223" i="10"/>
  <c r="L223" i="10"/>
  <c r="K223" i="10"/>
  <c r="J223" i="10"/>
  <c r="I223" i="10"/>
  <c r="H223" i="10"/>
  <c r="G223" i="10"/>
  <c r="F223" i="10"/>
  <c r="E223" i="10"/>
  <c r="D223" i="10"/>
  <c r="C223" i="10"/>
  <c r="B223" i="10"/>
  <c r="M222" i="10"/>
  <c r="L222" i="10"/>
  <c r="K222" i="10"/>
  <c r="J222" i="10"/>
  <c r="I222" i="10"/>
  <c r="H222" i="10"/>
  <c r="G222" i="10"/>
  <c r="F222" i="10"/>
  <c r="E222" i="10"/>
  <c r="D222" i="10"/>
  <c r="C222" i="10"/>
  <c r="B222" i="10"/>
  <c r="M221" i="10"/>
  <c r="L221" i="10"/>
  <c r="K221" i="10"/>
  <c r="J221" i="10"/>
  <c r="I221" i="10"/>
  <c r="H221" i="10"/>
  <c r="G221" i="10"/>
  <c r="F221" i="10"/>
  <c r="E221" i="10"/>
  <c r="D221" i="10"/>
  <c r="C221" i="10"/>
  <c r="B221" i="10"/>
  <c r="M217" i="10"/>
  <c r="K217" i="10"/>
  <c r="J217" i="10"/>
  <c r="H217" i="10"/>
  <c r="M216" i="10"/>
  <c r="K216" i="10"/>
  <c r="J216" i="10"/>
  <c r="H216" i="10"/>
  <c r="M215" i="10"/>
  <c r="L215" i="10"/>
  <c r="K215" i="10"/>
  <c r="J215" i="10"/>
  <c r="I215" i="10"/>
  <c r="H215" i="10"/>
  <c r="M214" i="10"/>
  <c r="L214" i="10"/>
  <c r="K214" i="10"/>
  <c r="J214" i="10"/>
  <c r="I214" i="10"/>
  <c r="H214" i="10"/>
  <c r="M213" i="10"/>
  <c r="L213" i="10"/>
  <c r="K213" i="10"/>
  <c r="J213" i="10"/>
  <c r="I213" i="10"/>
  <c r="H213" i="10"/>
  <c r="M201" i="10"/>
  <c r="K201" i="10"/>
  <c r="J201" i="10"/>
  <c r="H201" i="10"/>
  <c r="G201" i="10"/>
  <c r="F201" i="10"/>
  <c r="E201" i="10"/>
  <c r="D201" i="10"/>
  <c r="C201" i="10"/>
  <c r="B201" i="10"/>
  <c r="M200" i="10"/>
  <c r="K200" i="10"/>
  <c r="J200" i="10"/>
  <c r="H200" i="10"/>
  <c r="G200" i="10"/>
  <c r="F200" i="10"/>
  <c r="E200" i="10"/>
  <c r="D200" i="10"/>
  <c r="C200" i="10"/>
  <c r="B200" i="10"/>
  <c r="M199" i="10"/>
  <c r="L199" i="10"/>
  <c r="K199" i="10"/>
  <c r="J199" i="10"/>
  <c r="I199" i="10"/>
  <c r="H199" i="10"/>
  <c r="G199" i="10"/>
  <c r="F199" i="10"/>
  <c r="E199" i="10"/>
  <c r="D199" i="10"/>
  <c r="C199" i="10"/>
  <c r="B199" i="10"/>
  <c r="M198" i="10"/>
  <c r="L198" i="10"/>
  <c r="K198" i="10"/>
  <c r="J198" i="10"/>
  <c r="I198" i="10"/>
  <c r="H198" i="10"/>
  <c r="G198" i="10"/>
  <c r="F198" i="10"/>
  <c r="E198" i="10"/>
  <c r="D198" i="10"/>
  <c r="C198" i="10"/>
  <c r="B198" i="10"/>
  <c r="M197" i="10"/>
  <c r="L197" i="10"/>
  <c r="K197" i="10"/>
  <c r="J197" i="10"/>
  <c r="I197" i="10"/>
  <c r="H197" i="10"/>
  <c r="G197" i="10"/>
  <c r="F197" i="10"/>
  <c r="E197" i="10"/>
  <c r="D197" i="10"/>
  <c r="C197" i="10"/>
  <c r="B197" i="10"/>
  <c r="G532" i="10" l="1"/>
  <c r="G189" i="10"/>
  <c r="J189" i="10"/>
  <c r="I189" i="10"/>
  <c r="E192" i="10"/>
  <c r="C190" i="10"/>
  <c r="K190" i="10"/>
  <c r="M190" i="10"/>
  <c r="G190" i="10"/>
  <c r="K189" i="10"/>
  <c r="F190" i="10"/>
  <c r="L189" i="10"/>
  <c r="D189" i="10"/>
  <c r="H189" i="10"/>
  <c r="D190" i="10"/>
  <c r="L190" i="10"/>
  <c r="AC204" i="10"/>
  <c r="AC9" i="17" s="1"/>
  <c r="AC205" i="10"/>
  <c r="AC38" i="17" s="1"/>
  <c r="E190" i="10"/>
  <c r="AC206" i="10"/>
  <c r="AC24" i="17" s="1"/>
  <c r="B189" i="10"/>
  <c r="C189" i="10"/>
  <c r="H190" i="10"/>
  <c r="H192" i="10"/>
  <c r="E189" i="10"/>
  <c r="M189" i="10"/>
  <c r="I190" i="10"/>
  <c r="F189" i="10"/>
  <c r="B190" i="10"/>
  <c r="J190" i="10"/>
  <c r="K192" i="10"/>
  <c r="H193" i="10"/>
  <c r="D193" i="10"/>
  <c r="F192" i="10"/>
  <c r="J192" i="10"/>
  <c r="G193" i="10"/>
  <c r="M192" i="10"/>
  <c r="B193" i="10"/>
  <c r="K193" i="10"/>
  <c r="M193" i="10"/>
  <c r="G192" i="10"/>
  <c r="C193" i="10"/>
  <c r="J193" i="10"/>
  <c r="F193" i="10"/>
  <c r="D192" i="10"/>
  <c r="E193" i="10"/>
  <c r="C192" i="10"/>
  <c r="B192" i="10"/>
  <c r="F121" i="8"/>
  <c r="AH98" i="8"/>
  <c r="AH99" i="8" s="1"/>
  <c r="H100" i="8"/>
  <c r="H98" i="8"/>
  <c r="H99" i="8" s="1"/>
  <c r="F100" i="8"/>
  <c r="F99" i="8"/>
  <c r="S119" i="8"/>
  <c r="S120" i="8" s="1"/>
  <c r="O120" i="8"/>
  <c r="S121" i="8"/>
  <c r="U119" i="8"/>
  <c r="U120" i="8" s="1"/>
  <c r="V120" i="8"/>
  <c r="U121" i="8"/>
  <c r="AC101" i="8"/>
  <c r="AF98" i="8"/>
  <c r="AF99" i="8" s="1"/>
  <c r="AL101" i="8"/>
  <c r="X101" i="8"/>
  <c r="U98" i="8"/>
  <c r="U99" i="8" s="1"/>
  <c r="S100" i="8"/>
  <c r="S98" i="8"/>
  <c r="S99" i="8" s="1"/>
  <c r="O99" i="8"/>
  <c r="F119" i="8"/>
  <c r="F120" i="8" s="1"/>
  <c r="AH73" i="8"/>
  <c r="AH74" i="8" s="1"/>
  <c r="AF75" i="8"/>
  <c r="AK76" i="8"/>
  <c r="AF73" i="8"/>
  <c r="AF74" i="8" s="1"/>
  <c r="AB74" i="8"/>
  <c r="U73" i="8"/>
  <c r="U74" i="8" s="1"/>
  <c r="S75" i="8"/>
  <c r="Y76" i="8"/>
  <c r="S73" i="8"/>
  <c r="S74" i="8" s="1"/>
  <c r="O74" i="8"/>
  <c r="O76" i="8"/>
  <c r="P76" i="8"/>
  <c r="K101" i="8"/>
  <c r="L120" i="8"/>
  <c r="L122" i="8"/>
  <c r="H119" i="8"/>
  <c r="H120" i="8" s="1"/>
  <c r="H121" i="8"/>
  <c r="F101" i="8"/>
  <c r="D120" i="8"/>
  <c r="D122" i="8"/>
  <c r="C120" i="8"/>
  <c r="C122" i="8"/>
  <c r="H75" i="8"/>
  <c r="H73" i="8"/>
  <c r="I74" i="8"/>
  <c r="F75" i="8"/>
  <c r="C74" i="8"/>
  <c r="F73" i="8"/>
  <c r="F74" i="8" s="1"/>
  <c r="M228" i="10"/>
  <c r="M220" i="10"/>
  <c r="M212" i="10"/>
  <c r="M196" i="10"/>
  <c r="L228" i="10"/>
  <c r="L220" i="10"/>
  <c r="L212" i="10"/>
  <c r="L196" i="10"/>
  <c r="K228" i="10"/>
  <c r="K220" i="10"/>
  <c r="K212" i="10"/>
  <c r="K196" i="10"/>
  <c r="J228" i="10"/>
  <c r="J220" i="10"/>
  <c r="J212" i="10"/>
  <c r="J196" i="10"/>
  <c r="I228" i="10"/>
  <c r="I220" i="10"/>
  <c r="I212" i="10"/>
  <c r="I196" i="10"/>
  <c r="H228" i="10"/>
  <c r="H220" i="10"/>
  <c r="H212" i="10"/>
  <c r="H196" i="10"/>
  <c r="G228" i="10"/>
  <c r="G220" i="10"/>
  <c r="G196" i="10"/>
  <c r="F228" i="10"/>
  <c r="F220" i="10"/>
  <c r="F196" i="10"/>
  <c r="E228" i="10"/>
  <c r="E220" i="10"/>
  <c r="E196" i="10"/>
  <c r="D228" i="10"/>
  <c r="D220" i="10"/>
  <c r="C228" i="10"/>
  <c r="C220" i="10"/>
  <c r="C196" i="10"/>
  <c r="B228" i="10"/>
  <c r="B220" i="10"/>
  <c r="B196" i="10"/>
  <c r="BG64" i="15"/>
  <c r="BI64" i="15"/>
  <c r="AG84" i="15"/>
  <c r="AI84" i="15"/>
  <c r="BG14" i="15"/>
  <c r="BI14" i="15"/>
  <c r="G93" i="15"/>
  <c r="I93" i="15"/>
  <c r="G94" i="15"/>
  <c r="I94" i="15"/>
  <c r="G95" i="15"/>
  <c r="I95" i="15"/>
  <c r="BV34" i="15"/>
  <c r="BT38" i="15"/>
  <c r="BV38" i="15"/>
  <c r="BT39" i="15"/>
  <c r="BV39" i="15"/>
  <c r="BT40" i="15"/>
  <c r="BV40" i="15"/>
  <c r="BT41" i="15"/>
  <c r="BV41" i="15"/>
  <c r="BT14" i="15"/>
  <c r="BV14" i="15"/>
  <c r="BT15" i="15"/>
  <c r="BV15" i="15"/>
  <c r="G191" i="10" l="1"/>
  <c r="AC34" i="17"/>
  <c r="AC36" i="17"/>
  <c r="AC32" i="17"/>
  <c r="AC23" i="17"/>
  <c r="AC12" i="17" s="1"/>
  <c r="K191" i="10"/>
  <c r="AC10" i="17"/>
  <c r="AC11" i="17"/>
  <c r="AC26" i="17"/>
  <c r="AC25" i="17"/>
  <c r="J191" i="10"/>
  <c r="I191" i="10"/>
  <c r="M191" i="10"/>
  <c r="B188" i="10"/>
  <c r="E188" i="10"/>
  <c r="H188" i="10"/>
  <c r="J188" i="10"/>
  <c r="L188" i="10"/>
  <c r="C188" i="10"/>
  <c r="F188" i="10"/>
  <c r="AC208" i="10"/>
  <c r="AC207" i="10"/>
  <c r="AC209" i="10"/>
  <c r="I188" i="10"/>
  <c r="K188" i="10"/>
  <c r="M188" i="10"/>
  <c r="G188" i="10"/>
  <c r="E191" i="10"/>
  <c r="H191" i="10"/>
  <c r="D191" i="10"/>
  <c r="F191" i="10"/>
  <c r="L191" i="10"/>
  <c r="U122" i="8"/>
  <c r="F122" i="8"/>
  <c r="S101" i="8"/>
  <c r="H101" i="8"/>
  <c r="S122" i="8"/>
  <c r="AF76" i="8"/>
  <c r="S76" i="8"/>
  <c r="H122" i="8"/>
  <c r="F79" i="8"/>
  <c r="F76" i="8"/>
  <c r="G81" i="8"/>
  <c r="H74" i="8"/>
  <c r="H76" i="8"/>
  <c r="B191" i="10"/>
  <c r="AC190" i="10"/>
  <c r="T23" i="12" s="1"/>
  <c r="AC189" i="10"/>
  <c r="T37" i="12" s="1"/>
  <c r="C191" i="10"/>
  <c r="BH64" i="15"/>
  <c r="AH84" i="15"/>
  <c r="BH14" i="15"/>
  <c r="H94" i="15"/>
  <c r="H95" i="15"/>
  <c r="H93" i="15"/>
  <c r="BU39" i="15"/>
  <c r="BU41" i="15"/>
  <c r="BU38" i="15"/>
  <c r="BU40" i="15"/>
  <c r="BU14" i="15"/>
  <c r="BU15" i="15"/>
  <c r="AH4" i="12"/>
  <c r="AI4" i="12"/>
  <c r="AJ4" i="12"/>
  <c r="AK4" i="12"/>
  <c r="AL4" i="12"/>
  <c r="AM4" i="12"/>
  <c r="AN4" i="12"/>
  <c r="AO4" i="12"/>
  <c r="AP4" i="12"/>
  <c r="AQ4" i="12"/>
  <c r="AR4" i="12"/>
  <c r="AS4" i="12"/>
  <c r="AT4" i="12"/>
  <c r="T7" i="12"/>
  <c r="BL37" i="14"/>
  <c r="AC13" i="17" l="1"/>
  <c r="AC37" i="17"/>
  <c r="H79" i="8"/>
  <c r="AV90" i="6"/>
  <c r="AV91" i="6" s="1"/>
  <c r="Q182" i="10" s="1"/>
  <c r="AV89" i="6"/>
  <c r="Q180" i="10" s="1"/>
  <c r="BJ89" i="6"/>
  <c r="BK89" i="6"/>
  <c r="BL89" i="6"/>
  <c r="BJ90" i="6"/>
  <c r="BJ91" i="6" s="1"/>
  <c r="BK90" i="6"/>
  <c r="BK91" i="6" s="1"/>
  <c r="BL90" i="6"/>
  <c r="BL91" i="6" s="1"/>
  <c r="BI90" i="6"/>
  <c r="BI91" i="6" s="1"/>
  <c r="BC89" i="6"/>
  <c r="R164" i="10" s="1"/>
  <c r="BD89" i="6"/>
  <c r="R156" i="10" s="1"/>
  <c r="BE89" i="6"/>
  <c r="R180" i="10" s="1"/>
  <c r="BC90" i="6"/>
  <c r="BC91" i="6" s="1"/>
  <c r="R166" i="10" s="1"/>
  <c r="BD90" i="6"/>
  <c r="BE90" i="6"/>
  <c r="BE91" i="6" s="1"/>
  <c r="R182" i="10" s="1"/>
  <c r="BD91" i="6"/>
  <c r="R158" i="10" s="1"/>
  <c r="BB90" i="6"/>
  <c r="R173" i="10" s="1"/>
  <c r="BH87" i="6"/>
  <c r="BH86" i="6"/>
  <c r="BI89" i="6"/>
  <c r="BB89" i="6"/>
  <c r="R172" i="10" s="1"/>
  <c r="M185" i="10"/>
  <c r="L185" i="10"/>
  <c r="J185" i="10"/>
  <c r="H185" i="10"/>
  <c r="F185" i="10"/>
  <c r="E185" i="10"/>
  <c r="D185" i="10"/>
  <c r="C185" i="10"/>
  <c r="B185" i="10"/>
  <c r="M184" i="10"/>
  <c r="L184" i="10"/>
  <c r="K184" i="10"/>
  <c r="J184" i="10"/>
  <c r="H184" i="10"/>
  <c r="G184" i="10"/>
  <c r="F184" i="10"/>
  <c r="E184" i="10"/>
  <c r="D184" i="10"/>
  <c r="C184" i="10"/>
  <c r="B184" i="10"/>
  <c r="M183" i="10"/>
  <c r="L183" i="10"/>
  <c r="K183" i="10"/>
  <c r="J183" i="10"/>
  <c r="H183" i="10"/>
  <c r="G183" i="10"/>
  <c r="F183" i="10"/>
  <c r="E183" i="10"/>
  <c r="D183" i="10"/>
  <c r="C183" i="10"/>
  <c r="M182" i="10"/>
  <c r="L182" i="10"/>
  <c r="K182" i="10"/>
  <c r="J182" i="10"/>
  <c r="H182" i="10"/>
  <c r="G182" i="10"/>
  <c r="F182" i="10"/>
  <c r="E182" i="10"/>
  <c r="D182" i="10"/>
  <c r="C182" i="10"/>
  <c r="B182" i="10"/>
  <c r="Q181" i="10"/>
  <c r="M181" i="10"/>
  <c r="L181" i="10"/>
  <c r="K181" i="10"/>
  <c r="J181" i="10"/>
  <c r="H181" i="10"/>
  <c r="G181" i="10"/>
  <c r="F181" i="10"/>
  <c r="E181" i="10"/>
  <c r="D181" i="10"/>
  <c r="C181" i="10"/>
  <c r="B181" i="10"/>
  <c r="M177" i="10"/>
  <c r="L177" i="10"/>
  <c r="K177" i="10"/>
  <c r="J177" i="10"/>
  <c r="H177" i="10"/>
  <c r="G177" i="10"/>
  <c r="F177" i="10"/>
  <c r="D177" i="10"/>
  <c r="C177" i="10"/>
  <c r="B177" i="10"/>
  <c r="M176" i="10"/>
  <c r="L176" i="10"/>
  <c r="K176" i="10"/>
  <c r="J176" i="10"/>
  <c r="H176" i="10"/>
  <c r="G176" i="10"/>
  <c r="F176" i="10"/>
  <c r="E176" i="10"/>
  <c r="D176" i="10"/>
  <c r="C176" i="10"/>
  <c r="B176" i="10"/>
  <c r="M175" i="10"/>
  <c r="L175" i="10"/>
  <c r="K175" i="10"/>
  <c r="J175" i="10"/>
  <c r="H175" i="10"/>
  <c r="G175" i="10"/>
  <c r="F175" i="10"/>
  <c r="E175" i="10"/>
  <c r="D175" i="10"/>
  <c r="C175" i="10"/>
  <c r="B175" i="10"/>
  <c r="AA174" i="10"/>
  <c r="M174" i="10"/>
  <c r="L174" i="10"/>
  <c r="K174" i="10"/>
  <c r="J174" i="10"/>
  <c r="H174" i="10"/>
  <c r="G174" i="10"/>
  <c r="F174" i="10"/>
  <c r="E174" i="10"/>
  <c r="D174" i="10"/>
  <c r="C174" i="10"/>
  <c r="B174" i="10"/>
  <c r="M173" i="10"/>
  <c r="L173" i="10"/>
  <c r="K173" i="10"/>
  <c r="J173" i="10"/>
  <c r="H173" i="10"/>
  <c r="G173" i="10"/>
  <c r="F173" i="10"/>
  <c r="E173" i="10"/>
  <c r="D173" i="10"/>
  <c r="C173" i="10"/>
  <c r="B173" i="10"/>
  <c r="B180" i="10"/>
  <c r="M169" i="10"/>
  <c r="L169" i="10"/>
  <c r="K169" i="10"/>
  <c r="J169" i="10"/>
  <c r="H169" i="10"/>
  <c r="G169" i="10"/>
  <c r="F169" i="10"/>
  <c r="E169" i="10"/>
  <c r="D169" i="10"/>
  <c r="C169" i="10"/>
  <c r="B169" i="10"/>
  <c r="M168" i="10"/>
  <c r="L168" i="10"/>
  <c r="K168" i="10"/>
  <c r="J168" i="10"/>
  <c r="H168" i="10"/>
  <c r="G168" i="10"/>
  <c r="F168" i="10"/>
  <c r="E168" i="10"/>
  <c r="D168" i="10"/>
  <c r="C168" i="10"/>
  <c r="B168" i="10"/>
  <c r="M167" i="10"/>
  <c r="L167" i="10"/>
  <c r="K167" i="10"/>
  <c r="J167" i="10"/>
  <c r="H167" i="10"/>
  <c r="G167" i="10"/>
  <c r="F167" i="10"/>
  <c r="E167" i="10"/>
  <c r="D167" i="10"/>
  <c r="C167" i="10"/>
  <c r="B167" i="10"/>
  <c r="M166" i="10"/>
  <c r="L166" i="10"/>
  <c r="K166" i="10"/>
  <c r="J166" i="10"/>
  <c r="H166" i="10"/>
  <c r="G166" i="10"/>
  <c r="F166" i="10"/>
  <c r="E166" i="10"/>
  <c r="D166" i="10"/>
  <c r="C166" i="10"/>
  <c r="B166" i="10"/>
  <c r="M165" i="10"/>
  <c r="L165" i="10"/>
  <c r="K165" i="10"/>
  <c r="J165" i="10"/>
  <c r="H165" i="10"/>
  <c r="G165" i="10"/>
  <c r="F165" i="10"/>
  <c r="E165" i="10"/>
  <c r="D165" i="10"/>
  <c r="C165" i="10"/>
  <c r="B165" i="10"/>
  <c r="M161" i="10"/>
  <c r="L161" i="10"/>
  <c r="K161" i="10"/>
  <c r="J161" i="10"/>
  <c r="H161" i="10"/>
  <c r="G161" i="10"/>
  <c r="F161" i="10"/>
  <c r="E161" i="10"/>
  <c r="D161" i="10"/>
  <c r="C161" i="10"/>
  <c r="B161" i="10"/>
  <c r="M160" i="10"/>
  <c r="L160" i="10"/>
  <c r="K160" i="10"/>
  <c r="J160" i="10"/>
  <c r="H160" i="10"/>
  <c r="G160" i="10"/>
  <c r="F160" i="10"/>
  <c r="E160" i="10"/>
  <c r="D160" i="10"/>
  <c r="C160" i="10"/>
  <c r="B160" i="10"/>
  <c r="M159" i="10"/>
  <c r="L159" i="10"/>
  <c r="K159" i="10"/>
  <c r="J159" i="10"/>
  <c r="H159" i="10"/>
  <c r="G159" i="10"/>
  <c r="F159" i="10"/>
  <c r="E159" i="10"/>
  <c r="D159" i="10"/>
  <c r="C159" i="10"/>
  <c r="B159" i="10"/>
  <c r="M158" i="10"/>
  <c r="L158" i="10"/>
  <c r="K158" i="10"/>
  <c r="J158" i="10"/>
  <c r="H158" i="10"/>
  <c r="G158" i="10"/>
  <c r="F158" i="10"/>
  <c r="E158" i="10"/>
  <c r="D158" i="10"/>
  <c r="C158" i="10"/>
  <c r="B158" i="10"/>
  <c r="R157" i="10"/>
  <c r="M157" i="10"/>
  <c r="L157" i="10"/>
  <c r="K157" i="10"/>
  <c r="J157" i="10"/>
  <c r="H157" i="10"/>
  <c r="G157" i="10"/>
  <c r="F157" i="10"/>
  <c r="E157" i="10"/>
  <c r="D157" i="10"/>
  <c r="C157" i="10"/>
  <c r="B157" i="10"/>
  <c r="M180" i="10"/>
  <c r="M172" i="10"/>
  <c r="M164" i="10"/>
  <c r="M156" i="10"/>
  <c r="L180" i="10"/>
  <c r="L172" i="10"/>
  <c r="L164" i="10"/>
  <c r="L156" i="10"/>
  <c r="K180" i="10"/>
  <c r="K172" i="10"/>
  <c r="K164" i="10"/>
  <c r="K156" i="10"/>
  <c r="J180" i="10"/>
  <c r="J172" i="10"/>
  <c r="J164" i="10"/>
  <c r="J156" i="10"/>
  <c r="H180" i="10"/>
  <c r="H172" i="10"/>
  <c r="H164" i="10"/>
  <c r="H156" i="10"/>
  <c r="G180" i="10"/>
  <c r="G172" i="10"/>
  <c r="G164" i="10"/>
  <c r="G156" i="10"/>
  <c r="F180" i="10"/>
  <c r="F172" i="10"/>
  <c r="F164" i="10"/>
  <c r="F156" i="10"/>
  <c r="E180" i="10"/>
  <c r="E172" i="10"/>
  <c r="E164" i="10"/>
  <c r="E156" i="10"/>
  <c r="D180" i="10"/>
  <c r="D172" i="10"/>
  <c r="D164" i="10"/>
  <c r="D156" i="10"/>
  <c r="C180" i="10"/>
  <c r="C172" i="10"/>
  <c r="C164" i="10"/>
  <c r="C156" i="10"/>
  <c r="B172" i="10"/>
  <c r="B164" i="10"/>
  <c r="B156" i="10"/>
  <c r="AB97" i="10"/>
  <c r="AA97" i="10"/>
  <c r="Z97" i="10"/>
  <c r="Y97" i="10"/>
  <c r="X97" i="10"/>
  <c r="Q97" i="10"/>
  <c r="P97" i="10"/>
  <c r="O97" i="10"/>
  <c r="N97" i="10"/>
  <c r="M97" i="10"/>
  <c r="L97" i="10"/>
  <c r="K97" i="10"/>
  <c r="J97" i="10"/>
  <c r="I97" i="10"/>
  <c r="H97" i="10"/>
  <c r="G97" i="10"/>
  <c r="F97" i="10"/>
  <c r="E97" i="10"/>
  <c r="D97" i="10"/>
  <c r="C97" i="10"/>
  <c r="AB96" i="10"/>
  <c r="AA96" i="10"/>
  <c r="Z96" i="10"/>
  <c r="Y96" i="10"/>
  <c r="X96" i="10"/>
  <c r="Q96" i="10"/>
  <c r="P96" i="10"/>
  <c r="O96" i="10"/>
  <c r="N96" i="10"/>
  <c r="M96" i="10"/>
  <c r="L96" i="10"/>
  <c r="K96" i="10"/>
  <c r="J96" i="10"/>
  <c r="I96" i="10"/>
  <c r="H96" i="10"/>
  <c r="G96" i="10"/>
  <c r="F96" i="10"/>
  <c r="E96" i="10"/>
  <c r="D96" i="10"/>
  <c r="C96" i="10"/>
  <c r="B97" i="10"/>
  <c r="B96" i="10"/>
  <c r="B85" i="10"/>
  <c r="C85" i="10"/>
  <c r="D85" i="10"/>
  <c r="E85" i="10"/>
  <c r="F85" i="10"/>
  <c r="G85" i="10"/>
  <c r="H85" i="10"/>
  <c r="I85" i="10"/>
  <c r="J85" i="10"/>
  <c r="K85" i="10"/>
  <c r="L85" i="10"/>
  <c r="M85" i="10"/>
  <c r="B86" i="10"/>
  <c r="C86" i="10"/>
  <c r="D86" i="10"/>
  <c r="E86" i="10"/>
  <c r="F86" i="10"/>
  <c r="G86" i="10"/>
  <c r="H86" i="10"/>
  <c r="I86" i="10"/>
  <c r="J86" i="10"/>
  <c r="K86" i="10"/>
  <c r="L86" i="10"/>
  <c r="M86" i="10"/>
  <c r="B87" i="10"/>
  <c r="C87" i="10"/>
  <c r="D87" i="10"/>
  <c r="E87" i="10"/>
  <c r="F87" i="10"/>
  <c r="G87" i="10"/>
  <c r="H87" i="10"/>
  <c r="I87" i="10"/>
  <c r="J87" i="10"/>
  <c r="K87" i="10"/>
  <c r="L87" i="10"/>
  <c r="M87" i="10"/>
  <c r="B88" i="10"/>
  <c r="C88" i="10"/>
  <c r="D88" i="10"/>
  <c r="E88" i="10"/>
  <c r="F88" i="10"/>
  <c r="G88" i="10"/>
  <c r="H88" i="10"/>
  <c r="I88" i="10"/>
  <c r="J88" i="10"/>
  <c r="K88" i="10"/>
  <c r="L88" i="10"/>
  <c r="M88" i="10"/>
  <c r="B89" i="10"/>
  <c r="C89" i="10"/>
  <c r="D89" i="10"/>
  <c r="E89" i="10"/>
  <c r="F89" i="10"/>
  <c r="G89" i="10"/>
  <c r="H89" i="10"/>
  <c r="I89" i="10"/>
  <c r="J89" i="10"/>
  <c r="K89" i="10"/>
  <c r="L89" i="10"/>
  <c r="M89" i="10"/>
  <c r="B77" i="10"/>
  <c r="C77" i="10"/>
  <c r="D77" i="10"/>
  <c r="E77" i="10"/>
  <c r="F77" i="10"/>
  <c r="G77" i="10"/>
  <c r="H77" i="10"/>
  <c r="I77" i="10"/>
  <c r="J77" i="10"/>
  <c r="K77" i="10"/>
  <c r="L77" i="10"/>
  <c r="M77" i="10"/>
  <c r="B78" i="10"/>
  <c r="C78" i="10"/>
  <c r="D78" i="10"/>
  <c r="E78" i="10"/>
  <c r="F78" i="10"/>
  <c r="G78" i="10"/>
  <c r="H78" i="10"/>
  <c r="I78" i="10"/>
  <c r="J78" i="10"/>
  <c r="K78" i="10"/>
  <c r="L78" i="10"/>
  <c r="M78" i="10"/>
  <c r="B79" i="10"/>
  <c r="C79" i="10"/>
  <c r="D79" i="10"/>
  <c r="E79" i="10"/>
  <c r="F79" i="10"/>
  <c r="G79" i="10"/>
  <c r="H79" i="10"/>
  <c r="I79" i="10"/>
  <c r="J79" i="10"/>
  <c r="K79" i="10"/>
  <c r="L79" i="10"/>
  <c r="M79" i="10"/>
  <c r="B80" i="10"/>
  <c r="C80" i="10"/>
  <c r="D80" i="10"/>
  <c r="E80" i="10"/>
  <c r="F80" i="10"/>
  <c r="G80" i="10"/>
  <c r="H80" i="10"/>
  <c r="I80" i="10"/>
  <c r="J80" i="10"/>
  <c r="K80" i="10"/>
  <c r="L80" i="10"/>
  <c r="M80" i="10"/>
  <c r="B81" i="10"/>
  <c r="C81" i="10"/>
  <c r="D81" i="10"/>
  <c r="E81" i="10"/>
  <c r="G81" i="10"/>
  <c r="H81" i="10"/>
  <c r="I81" i="10"/>
  <c r="J81" i="10"/>
  <c r="K81" i="10"/>
  <c r="L81" i="10"/>
  <c r="M81" i="10"/>
  <c r="B69" i="10"/>
  <c r="C69" i="10"/>
  <c r="D69" i="10"/>
  <c r="E69" i="10"/>
  <c r="F69" i="10"/>
  <c r="G69" i="10"/>
  <c r="H69" i="10"/>
  <c r="I69" i="10"/>
  <c r="J69" i="10"/>
  <c r="K69" i="10"/>
  <c r="L69" i="10"/>
  <c r="M69" i="10"/>
  <c r="B70" i="10"/>
  <c r="C70" i="10"/>
  <c r="D70" i="10"/>
  <c r="E70" i="10"/>
  <c r="F70" i="10"/>
  <c r="G70" i="10"/>
  <c r="H70" i="10"/>
  <c r="I70" i="10"/>
  <c r="J70" i="10"/>
  <c r="K70" i="10"/>
  <c r="L70" i="10"/>
  <c r="M70" i="10"/>
  <c r="B71" i="10"/>
  <c r="C71" i="10"/>
  <c r="D71" i="10"/>
  <c r="E71" i="10"/>
  <c r="F71" i="10"/>
  <c r="G71" i="10"/>
  <c r="H71" i="10"/>
  <c r="I71" i="10"/>
  <c r="J71" i="10"/>
  <c r="K71" i="10"/>
  <c r="L71" i="10"/>
  <c r="M71" i="10"/>
  <c r="B72" i="10"/>
  <c r="C72" i="10"/>
  <c r="D72" i="10"/>
  <c r="E72" i="10"/>
  <c r="F72" i="10"/>
  <c r="G72" i="10"/>
  <c r="H72" i="10"/>
  <c r="I72" i="10"/>
  <c r="J72" i="10"/>
  <c r="K72" i="10"/>
  <c r="L72" i="10"/>
  <c r="M72" i="10"/>
  <c r="B73" i="10"/>
  <c r="C73" i="10"/>
  <c r="D73" i="10"/>
  <c r="E73" i="10"/>
  <c r="F73" i="10"/>
  <c r="G73" i="10"/>
  <c r="H73" i="10"/>
  <c r="I73" i="10"/>
  <c r="J73" i="10"/>
  <c r="K73" i="10"/>
  <c r="L73" i="10"/>
  <c r="M73" i="10"/>
  <c r="B61" i="10"/>
  <c r="C61" i="10"/>
  <c r="D61" i="10"/>
  <c r="E61" i="10"/>
  <c r="F61" i="10"/>
  <c r="G61" i="10"/>
  <c r="H61" i="10"/>
  <c r="I61" i="10"/>
  <c r="J61" i="10"/>
  <c r="K61" i="10"/>
  <c r="L61" i="10"/>
  <c r="M61" i="10"/>
  <c r="B62" i="10"/>
  <c r="C62" i="10"/>
  <c r="D62" i="10"/>
  <c r="E62" i="10"/>
  <c r="F62" i="10"/>
  <c r="G62" i="10"/>
  <c r="H62" i="10"/>
  <c r="I62" i="10"/>
  <c r="J62" i="10"/>
  <c r="K62" i="10"/>
  <c r="L62" i="10"/>
  <c r="M62" i="10"/>
  <c r="B63" i="10"/>
  <c r="C63" i="10"/>
  <c r="D63" i="10"/>
  <c r="E63" i="10"/>
  <c r="F63" i="10"/>
  <c r="G63" i="10"/>
  <c r="H63" i="10"/>
  <c r="I63" i="10"/>
  <c r="J63" i="10"/>
  <c r="K63" i="10"/>
  <c r="L63" i="10"/>
  <c r="M63" i="10"/>
  <c r="B64" i="10"/>
  <c r="C64" i="10"/>
  <c r="D64" i="10"/>
  <c r="E64" i="10"/>
  <c r="F64" i="10"/>
  <c r="G64" i="10"/>
  <c r="H64" i="10"/>
  <c r="I64" i="10"/>
  <c r="J64" i="10"/>
  <c r="K64" i="10"/>
  <c r="L64" i="10"/>
  <c r="M64" i="10"/>
  <c r="B65" i="10"/>
  <c r="C65" i="10"/>
  <c r="D65" i="10"/>
  <c r="E65" i="10"/>
  <c r="F65" i="10"/>
  <c r="G65" i="10"/>
  <c r="H65" i="10"/>
  <c r="I65" i="10"/>
  <c r="J65" i="10"/>
  <c r="K65" i="10"/>
  <c r="L65" i="10"/>
  <c r="M65" i="10"/>
  <c r="M84" i="10"/>
  <c r="M76" i="10"/>
  <c r="M68" i="10"/>
  <c r="M60" i="10"/>
  <c r="L84" i="10"/>
  <c r="L76" i="10"/>
  <c r="L68" i="10"/>
  <c r="L60" i="10"/>
  <c r="K84" i="10"/>
  <c r="K76" i="10"/>
  <c r="K68" i="10"/>
  <c r="K60" i="10"/>
  <c r="J84" i="10"/>
  <c r="J76" i="10"/>
  <c r="J68" i="10"/>
  <c r="J60" i="10"/>
  <c r="I84" i="10"/>
  <c r="I76" i="10"/>
  <c r="I68" i="10"/>
  <c r="I60" i="10"/>
  <c r="H84" i="10"/>
  <c r="H76" i="10"/>
  <c r="H68" i="10"/>
  <c r="H60" i="10"/>
  <c r="G84" i="10"/>
  <c r="G76" i="10"/>
  <c r="G68" i="10"/>
  <c r="G60" i="10"/>
  <c r="F84" i="10"/>
  <c r="F76" i="10"/>
  <c r="F68" i="10"/>
  <c r="F60" i="10"/>
  <c r="E84" i="10"/>
  <c r="E76" i="10"/>
  <c r="E68" i="10"/>
  <c r="E60" i="10"/>
  <c r="D60" i="10"/>
  <c r="D84" i="10"/>
  <c r="D76" i="10"/>
  <c r="D68" i="10"/>
  <c r="C84" i="10"/>
  <c r="C76" i="10"/>
  <c r="C68" i="10"/>
  <c r="C60" i="10"/>
  <c r="B84" i="10"/>
  <c r="B76" i="10"/>
  <c r="B68" i="10"/>
  <c r="B60" i="10"/>
  <c r="C150" i="10" l="1"/>
  <c r="J148" i="10"/>
  <c r="G153" i="10"/>
  <c r="K149" i="10"/>
  <c r="F152" i="10"/>
  <c r="B153" i="10"/>
  <c r="J153" i="10"/>
  <c r="F153" i="10"/>
  <c r="D153" i="10"/>
  <c r="D152" i="10"/>
  <c r="L152" i="10"/>
  <c r="K153" i="10"/>
  <c r="G152" i="10"/>
  <c r="F149" i="10"/>
  <c r="E150" i="10"/>
  <c r="M150" i="10"/>
  <c r="E152" i="10"/>
  <c r="M152" i="10"/>
  <c r="D149" i="10"/>
  <c r="H150" i="10"/>
  <c r="H149" i="10"/>
  <c r="K150" i="10"/>
  <c r="C152" i="10"/>
  <c r="K152" i="10"/>
  <c r="B150" i="10"/>
  <c r="J150" i="10"/>
  <c r="B152" i="10"/>
  <c r="J152" i="10"/>
  <c r="E149" i="10"/>
  <c r="M149" i="10"/>
  <c r="D150" i="10"/>
  <c r="H153" i="10"/>
  <c r="Z95" i="10"/>
  <c r="G150" i="10"/>
  <c r="G149" i="10"/>
  <c r="K148" i="10"/>
  <c r="L149" i="10"/>
  <c r="C149" i="10"/>
  <c r="C153" i="10"/>
  <c r="L153" i="10"/>
  <c r="B149" i="10"/>
  <c r="J149" i="10"/>
  <c r="R165" i="10"/>
  <c r="BB91" i="6"/>
  <c r="R181" i="10"/>
  <c r="R148" i="10"/>
  <c r="L150" i="10"/>
  <c r="F150" i="10"/>
  <c r="H152" i="10"/>
  <c r="E153" i="10"/>
  <c r="M153" i="10"/>
  <c r="M148" i="10"/>
  <c r="L148" i="10"/>
  <c r="H148" i="10"/>
  <c r="G148" i="10"/>
  <c r="F148" i="10"/>
  <c r="E148" i="10"/>
  <c r="D148" i="10"/>
  <c r="C148" i="10"/>
  <c r="B148" i="10"/>
  <c r="D95" i="10"/>
  <c r="L95" i="10"/>
  <c r="Q95" i="10"/>
  <c r="Y95" i="10"/>
  <c r="O95" i="10"/>
  <c r="H95" i="10"/>
  <c r="P95" i="10"/>
  <c r="X95" i="10"/>
  <c r="J95" i="10"/>
  <c r="E95" i="10"/>
  <c r="K95" i="10"/>
  <c r="AA95" i="10"/>
  <c r="F95" i="10"/>
  <c r="N95" i="10"/>
  <c r="B95" i="10"/>
  <c r="M95" i="10"/>
  <c r="C95" i="10"/>
  <c r="I95" i="10"/>
  <c r="G95" i="10"/>
  <c r="AB95" i="10"/>
  <c r="G98" i="14"/>
  <c r="I98" i="14"/>
  <c r="CG100" i="14"/>
  <c r="CI100" i="14"/>
  <c r="CG98" i="14"/>
  <c r="CI98" i="14"/>
  <c r="CG99" i="14"/>
  <c r="CI99" i="14"/>
  <c r="AT143" i="14"/>
  <c r="AV143" i="14"/>
  <c r="AT144" i="14"/>
  <c r="AV144" i="14"/>
  <c r="AT145" i="14"/>
  <c r="AV145" i="14"/>
  <c r="AT146" i="14"/>
  <c r="AV146" i="14"/>
  <c r="CG121" i="14"/>
  <c r="CI121" i="14"/>
  <c r="CG122" i="14"/>
  <c r="CI122" i="14"/>
  <c r="BT143" i="14"/>
  <c r="BV143" i="14"/>
  <c r="BT144" i="14"/>
  <c r="BV144" i="14"/>
  <c r="BT145" i="14"/>
  <c r="BV145" i="14"/>
  <c r="BT146" i="14"/>
  <c r="BV146" i="14"/>
  <c r="AT98" i="14"/>
  <c r="AV98" i="14"/>
  <c r="BG57" i="14"/>
  <c r="BI57" i="14"/>
  <c r="BG58" i="14"/>
  <c r="BI58" i="14"/>
  <c r="AG121" i="14"/>
  <c r="AH121" i="14" s="1"/>
  <c r="AI121" i="14"/>
  <c r="BT45" i="14"/>
  <c r="BV45" i="14"/>
  <c r="BT46" i="14"/>
  <c r="BV46" i="14"/>
  <c r="BT47" i="14"/>
  <c r="BV47" i="14"/>
  <c r="BT48" i="14"/>
  <c r="BV48" i="14"/>
  <c r="BT49" i="14"/>
  <c r="BV49" i="14"/>
  <c r="BT50" i="14"/>
  <c r="BV50" i="14"/>
  <c r="BT51" i="14"/>
  <c r="BV51" i="14"/>
  <c r="BT52" i="14"/>
  <c r="BV52" i="14"/>
  <c r="BT53" i="14"/>
  <c r="BV53" i="14"/>
  <c r="BT54" i="14"/>
  <c r="BV54" i="14"/>
  <c r="BG74" i="14"/>
  <c r="BI74" i="14"/>
  <c r="BT74" i="14"/>
  <c r="BV74" i="14"/>
  <c r="BG75" i="14"/>
  <c r="BI75" i="14"/>
  <c r="BT75" i="14"/>
  <c r="BV75" i="14"/>
  <c r="BT76" i="14"/>
  <c r="BV76" i="14"/>
  <c r="BT77" i="14"/>
  <c r="BV77" i="14"/>
  <c r="G76" i="14"/>
  <c r="I76" i="14"/>
  <c r="T74" i="14"/>
  <c r="V74" i="14"/>
  <c r="T75" i="14"/>
  <c r="V75" i="14"/>
  <c r="T76" i="14"/>
  <c r="V76" i="14"/>
  <c r="T77" i="14"/>
  <c r="V77" i="14"/>
  <c r="AG29" i="14"/>
  <c r="AI29" i="14"/>
  <c r="AG30" i="14"/>
  <c r="AI30" i="14"/>
  <c r="BZ21" i="15"/>
  <c r="BZ22" i="15" s="1"/>
  <c r="BZ23" i="15" s="1"/>
  <c r="BY21" i="15"/>
  <c r="BY22" i="15" s="1"/>
  <c r="BY23" i="15" s="1"/>
  <c r="BX21" i="15"/>
  <c r="BX22" i="15" s="1"/>
  <c r="BX23" i="15" s="1"/>
  <c r="BW21" i="15"/>
  <c r="BW22" i="15" s="1"/>
  <c r="BS21" i="15"/>
  <c r="BR21" i="15"/>
  <c r="BR22" i="15" s="1"/>
  <c r="BR23" i="15" s="1"/>
  <c r="BQ21" i="15"/>
  <c r="BQ22" i="15" s="1"/>
  <c r="BQ23" i="15" s="1"/>
  <c r="BP21" i="15"/>
  <c r="BP22" i="15" s="1"/>
  <c r="BP23" i="15" s="1"/>
  <c r="BZ20" i="15"/>
  <c r="BY20" i="15"/>
  <c r="BX20" i="15"/>
  <c r="BX25" i="15" s="1"/>
  <c r="BW20" i="15"/>
  <c r="BS20" i="15"/>
  <c r="BR20" i="15"/>
  <c r="BQ20" i="15"/>
  <c r="BP20" i="15"/>
  <c r="BV13" i="15"/>
  <c r="BT13" i="15"/>
  <c r="BV12" i="15"/>
  <c r="BT12" i="15"/>
  <c r="BV11" i="15"/>
  <c r="BT11" i="15"/>
  <c r="BV10" i="15"/>
  <c r="BT10" i="15"/>
  <c r="BV9" i="15"/>
  <c r="BT9" i="15"/>
  <c r="BV8" i="15"/>
  <c r="BT8" i="15"/>
  <c r="BV7" i="15"/>
  <c r="BT7" i="15"/>
  <c r="BV6" i="15"/>
  <c r="BT6" i="15"/>
  <c r="BV5" i="15"/>
  <c r="BT5" i="15"/>
  <c r="BM21" i="15"/>
  <c r="BM22" i="15" s="1"/>
  <c r="BM23" i="15" s="1"/>
  <c r="BL21" i="15"/>
  <c r="BL22" i="15" s="1"/>
  <c r="BL23" i="15" s="1"/>
  <c r="BK21" i="15"/>
  <c r="BK22" i="15" s="1"/>
  <c r="BK23" i="15" s="1"/>
  <c r="BJ21" i="15"/>
  <c r="BJ22" i="15" s="1"/>
  <c r="BF21" i="15"/>
  <c r="BF22" i="15" s="1"/>
  <c r="BF23" i="15" s="1"/>
  <c r="BE21" i="15"/>
  <c r="BD21" i="15"/>
  <c r="BD22" i="15" s="1"/>
  <c r="BD23" i="15" s="1"/>
  <c r="BC21" i="15"/>
  <c r="BC22" i="15" s="1"/>
  <c r="BM20" i="15"/>
  <c r="BL20" i="15"/>
  <c r="BK20" i="15"/>
  <c r="BK25" i="15" s="1"/>
  <c r="BJ20" i="15"/>
  <c r="BI20" i="15" s="1"/>
  <c r="BF20" i="15"/>
  <c r="BE20" i="15"/>
  <c r="BD20" i="15"/>
  <c r="BC20" i="15"/>
  <c r="BI13" i="15"/>
  <c r="BG13" i="15"/>
  <c r="BI12" i="15"/>
  <c r="BG12" i="15"/>
  <c r="BI11" i="15"/>
  <c r="BG11" i="15"/>
  <c r="BI10" i="15"/>
  <c r="BG10" i="15"/>
  <c r="BI9" i="15"/>
  <c r="BG9" i="15"/>
  <c r="BI8" i="15"/>
  <c r="BG8" i="15"/>
  <c r="BI7" i="15"/>
  <c r="BG7" i="15"/>
  <c r="BI6" i="15"/>
  <c r="BG6" i="15"/>
  <c r="BI5" i="15"/>
  <c r="BG5" i="15"/>
  <c r="BZ44" i="15"/>
  <c r="BZ45" i="15" s="1"/>
  <c r="BZ46" i="15" s="1"/>
  <c r="BY44" i="15"/>
  <c r="BX44" i="15"/>
  <c r="BX45" i="15" s="1"/>
  <c r="BX46" i="15" s="1"/>
  <c r="BW44" i="15"/>
  <c r="BW45" i="15" s="1"/>
  <c r="BS44" i="15"/>
  <c r="BS45" i="15" s="1"/>
  <c r="BS46" i="15" s="1"/>
  <c r="BR44" i="15"/>
  <c r="BR45" i="15" s="1"/>
  <c r="BR46" i="15" s="1"/>
  <c r="BQ44" i="15"/>
  <c r="BQ45" i="15" s="1"/>
  <c r="BQ46" i="15" s="1"/>
  <c r="BP44" i="15"/>
  <c r="BZ43" i="15"/>
  <c r="BY43" i="15"/>
  <c r="BX43" i="15"/>
  <c r="BW43" i="15"/>
  <c r="BS43" i="15"/>
  <c r="BR43" i="15"/>
  <c r="BQ43" i="15"/>
  <c r="BP43" i="15"/>
  <c r="BV37" i="15"/>
  <c r="BT37" i="15"/>
  <c r="BV36" i="15"/>
  <c r="BT36" i="15"/>
  <c r="BV35" i="15"/>
  <c r="BT35" i="15"/>
  <c r="BT34" i="15"/>
  <c r="BV33" i="15"/>
  <c r="BT33" i="15"/>
  <c r="BV32" i="15"/>
  <c r="BT32" i="15"/>
  <c r="BV31" i="15"/>
  <c r="BT31" i="15"/>
  <c r="BV30" i="15"/>
  <c r="BT30" i="15"/>
  <c r="BM44" i="15"/>
  <c r="BM45" i="15" s="1"/>
  <c r="BM46" i="15" s="1"/>
  <c r="BL44" i="15"/>
  <c r="BL45" i="15" s="1"/>
  <c r="BL46" i="15" s="1"/>
  <c r="BK44" i="15"/>
  <c r="BK46" i="15" s="1"/>
  <c r="BJ44" i="15"/>
  <c r="BJ45" i="15" s="1"/>
  <c r="BF44" i="15"/>
  <c r="BF45" i="15" s="1"/>
  <c r="BF46" i="15" s="1"/>
  <c r="BE44" i="15"/>
  <c r="BD44" i="15"/>
  <c r="BD45" i="15" s="1"/>
  <c r="BD46" i="15" s="1"/>
  <c r="BC44" i="15"/>
  <c r="BM43" i="15"/>
  <c r="BL43" i="15"/>
  <c r="BK43" i="15"/>
  <c r="BJ43" i="15"/>
  <c r="BF43" i="15"/>
  <c r="BE43" i="15"/>
  <c r="BD43" i="15"/>
  <c r="BC43" i="15"/>
  <c r="BI35" i="15"/>
  <c r="BG35" i="15"/>
  <c r="BI34" i="15"/>
  <c r="BG34" i="15"/>
  <c r="BI33" i="15"/>
  <c r="BG33" i="15"/>
  <c r="BI32" i="15"/>
  <c r="BG32" i="15"/>
  <c r="BI31" i="15"/>
  <c r="BG31" i="15"/>
  <c r="BI30" i="15"/>
  <c r="BG30" i="15"/>
  <c r="BZ67" i="15"/>
  <c r="BZ68" i="15" s="1"/>
  <c r="BZ69" i="15" s="1"/>
  <c r="BY67" i="15"/>
  <c r="BY68" i="15" s="1"/>
  <c r="BY69" i="15" s="1"/>
  <c r="BX67" i="15"/>
  <c r="BX68" i="15" s="1"/>
  <c r="BX69" i="15" s="1"/>
  <c r="BW67" i="15"/>
  <c r="BW68" i="15" s="1"/>
  <c r="BW69" i="15" s="1"/>
  <c r="BS67" i="15"/>
  <c r="BS68" i="15" s="1"/>
  <c r="BS69" i="15" s="1"/>
  <c r="BR67" i="15"/>
  <c r="BR68" i="15" s="1"/>
  <c r="BR69" i="15" s="1"/>
  <c r="BQ67" i="15"/>
  <c r="BP67" i="15"/>
  <c r="BZ66" i="15"/>
  <c r="BZ70" i="15" s="1"/>
  <c r="BY66" i="15"/>
  <c r="BX66" i="15"/>
  <c r="BW66" i="15"/>
  <c r="BS66" i="15"/>
  <c r="BR66" i="15"/>
  <c r="BQ66" i="15"/>
  <c r="BP66" i="15"/>
  <c r="BV62" i="15"/>
  <c r="BT62" i="15"/>
  <c r="BV61" i="15"/>
  <c r="BT61" i="15"/>
  <c r="BV60" i="15"/>
  <c r="BT60" i="15"/>
  <c r="BV59" i="15"/>
  <c r="BT59" i="15"/>
  <c r="BV58" i="15"/>
  <c r="BT58" i="15"/>
  <c r="BV57" i="15"/>
  <c r="BT57" i="15"/>
  <c r="BV56" i="15"/>
  <c r="BT56" i="15"/>
  <c r="BV55" i="15"/>
  <c r="BT55" i="15"/>
  <c r="BV54" i="15"/>
  <c r="BT54" i="15"/>
  <c r="BV53" i="15"/>
  <c r="BT53" i="15"/>
  <c r="BM67" i="15"/>
  <c r="BM68" i="15" s="1"/>
  <c r="BM69" i="15" s="1"/>
  <c r="BL67" i="15"/>
  <c r="BL68" i="15" s="1"/>
  <c r="BL69" i="15" s="1"/>
  <c r="BK67" i="15"/>
  <c r="BK68" i="15" s="1"/>
  <c r="BK69" i="15" s="1"/>
  <c r="BJ67" i="15"/>
  <c r="BJ68" i="15" s="1"/>
  <c r="BF67" i="15"/>
  <c r="BF68" i="15" s="1"/>
  <c r="BF69" i="15" s="1"/>
  <c r="BE67" i="15"/>
  <c r="BE68" i="15" s="1"/>
  <c r="BE69" i="15" s="1"/>
  <c r="BD67" i="15"/>
  <c r="BC67" i="15"/>
  <c r="BM66" i="15"/>
  <c r="BL66" i="15"/>
  <c r="BK66" i="15"/>
  <c r="BJ66" i="15"/>
  <c r="BF66" i="15"/>
  <c r="BF71" i="15" s="1"/>
  <c r="BE66" i="15"/>
  <c r="BE70" i="15" s="1"/>
  <c r="BD66" i="15"/>
  <c r="BD70" i="15" s="1"/>
  <c r="BC66" i="15"/>
  <c r="BI63" i="15"/>
  <c r="BG63" i="15"/>
  <c r="BI62" i="15"/>
  <c r="BG62" i="15"/>
  <c r="BI61" i="15"/>
  <c r="BG61" i="15"/>
  <c r="BI60" i="15"/>
  <c r="BG60" i="15"/>
  <c r="BI59" i="15"/>
  <c r="BG59" i="15"/>
  <c r="BI58" i="15"/>
  <c r="BG58" i="15"/>
  <c r="BI57" i="15"/>
  <c r="BG57" i="15"/>
  <c r="BI56" i="15"/>
  <c r="BG56" i="15"/>
  <c r="BI55" i="15"/>
  <c r="BG55" i="15"/>
  <c r="BI54" i="15"/>
  <c r="BG54" i="15"/>
  <c r="BI53" i="15"/>
  <c r="BG53" i="15"/>
  <c r="BZ98" i="15"/>
  <c r="BY98" i="15"/>
  <c r="BY99" i="15" s="1"/>
  <c r="BY100" i="15" s="1"/>
  <c r="BX98" i="15"/>
  <c r="BX99" i="15" s="1"/>
  <c r="BX100" i="15" s="1"/>
  <c r="BW98" i="15"/>
  <c r="BW99" i="15" s="1"/>
  <c r="BS98" i="15"/>
  <c r="BS99" i="15" s="1"/>
  <c r="BS100" i="15" s="1"/>
  <c r="BR98" i="15"/>
  <c r="BR99" i="15" s="1"/>
  <c r="BR100" i="15" s="1"/>
  <c r="BQ98" i="15"/>
  <c r="BP98" i="15"/>
  <c r="BP99" i="15" s="1"/>
  <c r="BZ97" i="15"/>
  <c r="BY97" i="15"/>
  <c r="BX97" i="15"/>
  <c r="BW97" i="15"/>
  <c r="BS97" i="15"/>
  <c r="BS101" i="15" s="1"/>
  <c r="BR97" i="15"/>
  <c r="BQ97" i="15"/>
  <c r="BQ101" i="15" s="1"/>
  <c r="BP97" i="15"/>
  <c r="BV82" i="15"/>
  <c r="BT82" i="15"/>
  <c r="BV81" i="15"/>
  <c r="BT81" i="15"/>
  <c r="BV80" i="15"/>
  <c r="BT80" i="15"/>
  <c r="BV79" i="15"/>
  <c r="BT79" i="15"/>
  <c r="BV78" i="15"/>
  <c r="BT78" i="15"/>
  <c r="BV77" i="15"/>
  <c r="BT77" i="15"/>
  <c r="BV76" i="15"/>
  <c r="BT76" i="15"/>
  <c r="BZ122" i="15"/>
  <c r="BZ123" i="15" s="1"/>
  <c r="BZ124" i="15" s="1"/>
  <c r="BY122" i="15"/>
  <c r="BY123" i="15" s="1"/>
  <c r="BY124" i="15" s="1"/>
  <c r="BX122" i="15"/>
  <c r="BX123" i="15" s="1"/>
  <c r="BX124" i="15" s="1"/>
  <c r="BW122" i="15"/>
  <c r="BW123" i="15" s="1"/>
  <c r="BS122" i="15"/>
  <c r="BR122" i="15"/>
  <c r="BR123" i="15" s="1"/>
  <c r="BR124" i="15" s="1"/>
  <c r="BQ122" i="15"/>
  <c r="BQ123" i="15" s="1"/>
  <c r="BQ124" i="15" s="1"/>
  <c r="BP122" i="15"/>
  <c r="BP123" i="15" s="1"/>
  <c r="BP124" i="15" s="1"/>
  <c r="BZ121" i="15"/>
  <c r="BY121" i="15"/>
  <c r="BX121" i="15"/>
  <c r="BX126" i="15" s="1"/>
  <c r="BW121" i="15"/>
  <c r="BS121" i="15"/>
  <c r="BR121" i="15"/>
  <c r="BQ121" i="15"/>
  <c r="BP121" i="15"/>
  <c r="BV118" i="15"/>
  <c r="BT118" i="15"/>
  <c r="BV117" i="15"/>
  <c r="BT117" i="15"/>
  <c r="BV116" i="15"/>
  <c r="BT116" i="15"/>
  <c r="BV115" i="15"/>
  <c r="BT115" i="15"/>
  <c r="BV114" i="15"/>
  <c r="BT114" i="15"/>
  <c r="BV113" i="15"/>
  <c r="BT113" i="15"/>
  <c r="BV112" i="15"/>
  <c r="BT112" i="15"/>
  <c r="BV111" i="15"/>
  <c r="BT111" i="15"/>
  <c r="BV110" i="15"/>
  <c r="BT110" i="15"/>
  <c r="BV109" i="15"/>
  <c r="BT109" i="15"/>
  <c r="BV108" i="15"/>
  <c r="BT108" i="15"/>
  <c r="BV107" i="15"/>
  <c r="BT107" i="15"/>
  <c r="BM98" i="15"/>
  <c r="BM99" i="15" s="1"/>
  <c r="BM100" i="15" s="1"/>
  <c r="BL98" i="15"/>
  <c r="BL99" i="15" s="1"/>
  <c r="BL100" i="15" s="1"/>
  <c r="BK98" i="15"/>
  <c r="BK99" i="15" s="1"/>
  <c r="BK100" i="15" s="1"/>
  <c r="BJ98" i="15"/>
  <c r="BJ99" i="15" s="1"/>
  <c r="BF98" i="15"/>
  <c r="BF99" i="15" s="1"/>
  <c r="BF100" i="15" s="1"/>
  <c r="BE98" i="15"/>
  <c r="BE99" i="15" s="1"/>
  <c r="BE100" i="15" s="1"/>
  <c r="BD98" i="15"/>
  <c r="BD99" i="15" s="1"/>
  <c r="BD100" i="15" s="1"/>
  <c r="BC98" i="15"/>
  <c r="BC99" i="15" s="1"/>
  <c r="BM97" i="15"/>
  <c r="BL97" i="15"/>
  <c r="BK97" i="15"/>
  <c r="BJ97" i="15"/>
  <c r="BF97" i="15"/>
  <c r="BE97" i="15"/>
  <c r="BD97" i="15"/>
  <c r="BC97" i="15"/>
  <c r="BI87" i="15"/>
  <c r="BG87" i="15"/>
  <c r="BI86" i="15"/>
  <c r="BG86" i="15"/>
  <c r="BI85" i="15"/>
  <c r="BG85" i="15"/>
  <c r="BI84" i="15"/>
  <c r="BG84" i="15"/>
  <c r="BI83" i="15"/>
  <c r="BG83" i="15"/>
  <c r="BI82" i="15"/>
  <c r="BG82" i="15"/>
  <c r="BI81" i="15"/>
  <c r="BG81" i="15"/>
  <c r="BI80" i="15"/>
  <c r="BG80" i="15"/>
  <c r="BI79" i="15"/>
  <c r="BG79" i="15"/>
  <c r="BI78" i="15"/>
  <c r="BG78" i="15"/>
  <c r="BI77" i="15"/>
  <c r="BG77" i="15"/>
  <c r="BI76" i="15"/>
  <c r="BG76" i="15"/>
  <c r="BM149" i="15"/>
  <c r="BM150" i="15" s="1"/>
  <c r="BM151" i="15" s="1"/>
  <c r="BL149" i="15"/>
  <c r="BL150" i="15" s="1"/>
  <c r="BL151" i="15" s="1"/>
  <c r="BK149" i="15"/>
  <c r="BK150" i="15" s="1"/>
  <c r="BK151" i="15" s="1"/>
  <c r="BJ149" i="15"/>
  <c r="BJ150" i="15" s="1"/>
  <c r="BF149" i="15"/>
  <c r="BE149" i="15"/>
  <c r="BD149" i="15"/>
  <c r="BD150" i="15" s="1"/>
  <c r="BD151" i="15" s="1"/>
  <c r="BC149" i="15"/>
  <c r="BC150" i="15" s="1"/>
  <c r="BC151" i="15" s="1"/>
  <c r="BM148" i="15"/>
  <c r="BL148" i="15"/>
  <c r="BK148" i="15"/>
  <c r="BJ148" i="15"/>
  <c r="BJ153" i="15" s="1"/>
  <c r="BF148" i="15"/>
  <c r="BE148" i="15"/>
  <c r="BE152" i="15" s="1"/>
  <c r="BD148" i="15"/>
  <c r="BC148" i="15"/>
  <c r="BI146" i="15"/>
  <c r="BG146" i="15"/>
  <c r="BI145" i="15"/>
  <c r="BG145" i="15"/>
  <c r="BI144" i="15"/>
  <c r="BG144" i="15"/>
  <c r="BI143" i="15"/>
  <c r="BG143" i="15"/>
  <c r="BI142" i="15"/>
  <c r="BG142" i="15"/>
  <c r="BI141" i="15"/>
  <c r="BG141" i="15"/>
  <c r="BI140" i="15"/>
  <c r="BG140" i="15"/>
  <c r="BI139" i="15"/>
  <c r="BG139" i="15"/>
  <c r="BI138" i="15"/>
  <c r="BG138" i="15"/>
  <c r="BI137" i="15"/>
  <c r="BG137" i="15"/>
  <c r="BI136" i="15"/>
  <c r="BG136" i="15"/>
  <c r="BI135" i="15"/>
  <c r="BG135" i="15"/>
  <c r="BI134" i="15"/>
  <c r="BG134" i="15"/>
  <c r="BI133" i="15"/>
  <c r="BG133" i="15"/>
  <c r="BI132" i="15"/>
  <c r="BG132" i="15"/>
  <c r="BI131" i="15"/>
  <c r="BG131" i="15"/>
  <c r="AZ149" i="15"/>
  <c r="AZ150" i="15" s="1"/>
  <c r="AZ151" i="15" s="1"/>
  <c r="AY149" i="15"/>
  <c r="AX149" i="15"/>
  <c r="AX150" i="15" s="1"/>
  <c r="AX151" i="15" s="1"/>
  <c r="AW149" i="15"/>
  <c r="AS149" i="15"/>
  <c r="AS150" i="15" s="1"/>
  <c r="AS151" i="15" s="1"/>
  <c r="AR149" i="15"/>
  <c r="AR150" i="15" s="1"/>
  <c r="AR151" i="15" s="1"/>
  <c r="AQ149" i="15"/>
  <c r="AQ150" i="15" s="1"/>
  <c r="AQ151" i="15" s="1"/>
  <c r="AP149" i="15"/>
  <c r="AM149" i="15"/>
  <c r="AM150" i="15" s="1"/>
  <c r="AM151" i="15" s="1"/>
  <c r="AL149" i="15"/>
  <c r="AL150" i="15" s="1"/>
  <c r="AL151" i="15" s="1"/>
  <c r="AK149" i="15"/>
  <c r="AK150" i="15" s="1"/>
  <c r="AK151" i="15" s="1"/>
  <c r="AJ149" i="15"/>
  <c r="AF149" i="15"/>
  <c r="AF150" i="15" s="1"/>
  <c r="AF151" i="15" s="1"/>
  <c r="AE149" i="15"/>
  <c r="AD149" i="15"/>
  <c r="AD150" i="15" s="1"/>
  <c r="AD151" i="15" s="1"/>
  <c r="AC149" i="15"/>
  <c r="AC150" i="15" s="1"/>
  <c r="AZ148" i="15"/>
  <c r="AY148" i="15"/>
  <c r="AX148" i="15"/>
  <c r="AW148" i="15"/>
  <c r="AS148" i="15"/>
  <c r="AR148" i="15"/>
  <c r="AQ148" i="15"/>
  <c r="AP148" i="15"/>
  <c r="AP152" i="15" s="1"/>
  <c r="AM148" i="15"/>
  <c r="AL148" i="15"/>
  <c r="AK148" i="15"/>
  <c r="AK152" i="15" s="1"/>
  <c r="AJ148" i="15"/>
  <c r="AF148" i="15"/>
  <c r="AF153" i="15" s="1"/>
  <c r="AE148" i="15"/>
  <c r="AD148" i="15"/>
  <c r="AC148" i="15"/>
  <c r="AI144" i="15"/>
  <c r="AG144" i="15"/>
  <c r="AI143" i="15"/>
  <c r="AG143" i="15"/>
  <c r="AI142" i="15"/>
  <c r="AG142" i="15"/>
  <c r="AI141" i="15"/>
  <c r="AG141" i="15"/>
  <c r="AI140" i="15"/>
  <c r="AG140" i="15"/>
  <c r="AV139" i="15"/>
  <c r="AT139" i="15"/>
  <c r="AI139" i="15"/>
  <c r="AG139" i="15"/>
  <c r="AV138" i="15"/>
  <c r="AT138" i="15"/>
  <c r="AI138" i="15"/>
  <c r="AG138" i="15"/>
  <c r="AV137" i="15"/>
  <c r="AT137" i="15"/>
  <c r="AI137" i="15"/>
  <c r="AG137" i="15"/>
  <c r="AV136" i="15"/>
  <c r="AT136" i="15"/>
  <c r="AI136" i="15"/>
  <c r="AG136" i="15"/>
  <c r="AV135" i="15"/>
  <c r="AT135" i="15"/>
  <c r="AI135" i="15"/>
  <c r="AG135" i="15"/>
  <c r="AV134" i="15"/>
  <c r="AT134" i="15"/>
  <c r="AI134" i="15"/>
  <c r="AG134" i="15"/>
  <c r="AV133" i="15"/>
  <c r="AT133" i="15"/>
  <c r="AI133" i="15"/>
  <c r="AG133" i="15"/>
  <c r="AV132" i="15"/>
  <c r="AT132" i="15"/>
  <c r="AI132" i="15"/>
  <c r="AG132" i="15"/>
  <c r="AV131" i="15"/>
  <c r="AT131" i="15"/>
  <c r="AI131" i="15"/>
  <c r="AG131" i="15"/>
  <c r="Z149" i="15"/>
  <c r="Z150" i="15" s="1"/>
  <c r="Z151" i="15" s="1"/>
  <c r="Y149" i="15"/>
  <c r="Y150" i="15" s="1"/>
  <c r="Y151" i="15" s="1"/>
  <c r="X149" i="15"/>
  <c r="X150" i="15" s="1"/>
  <c r="X151" i="15" s="1"/>
  <c r="W149" i="15"/>
  <c r="W150" i="15" s="1"/>
  <c r="S149" i="15"/>
  <c r="S150" i="15" s="1"/>
  <c r="S151" i="15" s="1"/>
  <c r="R149" i="15"/>
  <c r="R150" i="15" s="1"/>
  <c r="R151" i="15" s="1"/>
  <c r="Q149" i="15"/>
  <c r="Q150" i="15" s="1"/>
  <c r="Q151" i="15" s="1"/>
  <c r="P149" i="15"/>
  <c r="P150" i="15" s="1"/>
  <c r="Z148" i="15"/>
  <c r="Y148" i="15"/>
  <c r="X148" i="15"/>
  <c r="X152" i="15" s="1"/>
  <c r="W148" i="15"/>
  <c r="S148" i="15"/>
  <c r="S152" i="15" s="1"/>
  <c r="R148" i="15"/>
  <c r="R152" i="15" s="1"/>
  <c r="Q148" i="15"/>
  <c r="P148" i="15"/>
  <c r="V140" i="15"/>
  <c r="T140" i="15"/>
  <c r="V139" i="15"/>
  <c r="T139" i="15"/>
  <c r="V138" i="15"/>
  <c r="T138" i="15"/>
  <c r="V137" i="15"/>
  <c r="T137" i="15"/>
  <c r="V136" i="15"/>
  <c r="T136" i="15"/>
  <c r="V135" i="15"/>
  <c r="T135" i="15"/>
  <c r="V134" i="15"/>
  <c r="T134" i="15"/>
  <c r="V133" i="15"/>
  <c r="T133" i="15"/>
  <c r="V132" i="15"/>
  <c r="T132" i="15"/>
  <c r="V131" i="15"/>
  <c r="T131" i="15"/>
  <c r="G132" i="15"/>
  <c r="I132" i="15"/>
  <c r="G133" i="15"/>
  <c r="I133" i="15"/>
  <c r="G134" i="15"/>
  <c r="I134" i="15"/>
  <c r="G135" i="15"/>
  <c r="I135" i="15"/>
  <c r="G136" i="15"/>
  <c r="I136" i="15"/>
  <c r="G137" i="15"/>
  <c r="I137" i="15"/>
  <c r="G138" i="15"/>
  <c r="I138" i="15"/>
  <c r="I131" i="15"/>
  <c r="G131" i="15"/>
  <c r="M149" i="15"/>
  <c r="L149" i="15"/>
  <c r="L150" i="15" s="1"/>
  <c r="L151" i="15" s="1"/>
  <c r="K149" i="15"/>
  <c r="K150" i="15" s="1"/>
  <c r="K151" i="15" s="1"/>
  <c r="J149" i="15"/>
  <c r="J150" i="15" s="1"/>
  <c r="F149" i="15"/>
  <c r="F150" i="15" s="1"/>
  <c r="F151" i="15" s="1"/>
  <c r="E149" i="15"/>
  <c r="E150" i="15" s="1"/>
  <c r="E151" i="15" s="1"/>
  <c r="D149" i="15"/>
  <c r="C149" i="15"/>
  <c r="M148" i="15"/>
  <c r="M152" i="15" s="1"/>
  <c r="L148" i="15"/>
  <c r="K148" i="15"/>
  <c r="J148" i="15"/>
  <c r="F148" i="15"/>
  <c r="E148" i="15"/>
  <c r="E152" i="15" s="1"/>
  <c r="D148" i="15"/>
  <c r="C148" i="15"/>
  <c r="AZ122" i="15"/>
  <c r="AZ123" i="15" s="1"/>
  <c r="AZ124" i="15" s="1"/>
  <c r="AY122" i="15"/>
  <c r="AY123" i="15" s="1"/>
  <c r="AY124" i="15" s="1"/>
  <c r="AX122" i="15"/>
  <c r="AX123" i="15" s="1"/>
  <c r="AX124" i="15" s="1"/>
  <c r="AW122" i="15"/>
  <c r="AW123" i="15" s="1"/>
  <c r="AS122" i="15"/>
  <c r="AS123" i="15" s="1"/>
  <c r="AS124" i="15" s="1"/>
  <c r="AR122" i="15"/>
  <c r="AQ122" i="15"/>
  <c r="AQ123" i="15" s="1"/>
  <c r="AQ124" i="15" s="1"/>
  <c r="AP122" i="15"/>
  <c r="AZ121" i="15"/>
  <c r="AY121" i="15"/>
  <c r="AX121" i="15"/>
  <c r="AW121" i="15"/>
  <c r="AS121" i="15"/>
  <c r="AR121" i="15"/>
  <c r="AQ121" i="15"/>
  <c r="AP121" i="15"/>
  <c r="AV115" i="15"/>
  <c r="AT115" i="15"/>
  <c r="AV114" i="15"/>
  <c r="AT114" i="15"/>
  <c r="AV113" i="15"/>
  <c r="AT113" i="15"/>
  <c r="AV112" i="15"/>
  <c r="AT112" i="15"/>
  <c r="AV111" i="15"/>
  <c r="AT111" i="15"/>
  <c r="AV110" i="15"/>
  <c r="AT110" i="15"/>
  <c r="AV109" i="15"/>
  <c r="AT109" i="15"/>
  <c r="AV108" i="15"/>
  <c r="AT108" i="15"/>
  <c r="AV107" i="15"/>
  <c r="AT107" i="15"/>
  <c r="AM122" i="15"/>
  <c r="AM123" i="15" s="1"/>
  <c r="AM124" i="15" s="1"/>
  <c r="AL122" i="15"/>
  <c r="AL123" i="15" s="1"/>
  <c r="AL124" i="15" s="1"/>
  <c r="AK122" i="15"/>
  <c r="AK123" i="15" s="1"/>
  <c r="AK124" i="15" s="1"/>
  <c r="AJ122" i="15"/>
  <c r="AJ123" i="15" s="1"/>
  <c r="AF122" i="15"/>
  <c r="AF123" i="15" s="1"/>
  <c r="AF124" i="15" s="1"/>
  <c r="AE122" i="15"/>
  <c r="AD122" i="15"/>
  <c r="AD123" i="15" s="1"/>
  <c r="AD124" i="15" s="1"/>
  <c r="AC122" i="15"/>
  <c r="AC123" i="15" s="1"/>
  <c r="AM121" i="15"/>
  <c r="AL121" i="15"/>
  <c r="AK121" i="15"/>
  <c r="AJ121" i="15"/>
  <c r="AF121" i="15"/>
  <c r="AF125" i="15" s="1"/>
  <c r="AE121" i="15"/>
  <c r="AE125" i="15" s="1"/>
  <c r="AD121" i="15"/>
  <c r="AC121" i="15"/>
  <c r="AI113" i="15"/>
  <c r="AG113" i="15"/>
  <c r="AI112" i="15"/>
  <c r="AG112" i="15"/>
  <c r="AI111" i="15"/>
  <c r="AG111" i="15"/>
  <c r="AI110" i="15"/>
  <c r="AG110" i="15"/>
  <c r="AI109" i="15"/>
  <c r="AG109" i="15"/>
  <c r="AI108" i="15"/>
  <c r="AG108" i="15"/>
  <c r="AI107" i="15"/>
  <c r="AG107" i="15"/>
  <c r="Z122" i="15"/>
  <c r="Z123" i="15" s="1"/>
  <c r="Z124" i="15" s="1"/>
  <c r="Y122" i="15"/>
  <c r="Y123" i="15" s="1"/>
  <c r="Y124" i="15" s="1"/>
  <c r="X122" i="15"/>
  <c r="X123" i="15" s="1"/>
  <c r="X124" i="15" s="1"/>
  <c r="W122" i="15"/>
  <c r="W123" i="15" s="1"/>
  <c r="S122" i="15"/>
  <c r="R122" i="15"/>
  <c r="R123" i="15" s="1"/>
  <c r="R124" i="15" s="1"/>
  <c r="Q122" i="15"/>
  <c r="Q123" i="15" s="1"/>
  <c r="Q124" i="15" s="1"/>
  <c r="P122" i="15"/>
  <c r="Z121" i="15"/>
  <c r="Y121" i="15"/>
  <c r="X121" i="15"/>
  <c r="W121" i="15"/>
  <c r="S121" i="15"/>
  <c r="B444" i="10" s="1"/>
  <c r="B412" i="10" s="1"/>
  <c r="R121" i="15"/>
  <c r="R125" i="15" s="1"/>
  <c r="Q121" i="15"/>
  <c r="P121" i="15"/>
  <c r="V119" i="15"/>
  <c r="T119" i="15"/>
  <c r="V118" i="15"/>
  <c r="T118" i="15"/>
  <c r="V117" i="15"/>
  <c r="T117" i="15"/>
  <c r="V116" i="15"/>
  <c r="T116" i="15"/>
  <c r="V115" i="15"/>
  <c r="T115" i="15"/>
  <c r="V114" i="15"/>
  <c r="T114" i="15"/>
  <c r="V113" i="15"/>
  <c r="T113" i="15"/>
  <c r="V112" i="15"/>
  <c r="T112" i="15"/>
  <c r="V111" i="15"/>
  <c r="T111" i="15"/>
  <c r="V110" i="15"/>
  <c r="T110" i="15"/>
  <c r="V109" i="15"/>
  <c r="T109" i="15"/>
  <c r="V108" i="15"/>
  <c r="T108" i="15"/>
  <c r="V107" i="15"/>
  <c r="T107" i="15"/>
  <c r="G108" i="15"/>
  <c r="I108" i="15"/>
  <c r="G109" i="15"/>
  <c r="I109" i="15"/>
  <c r="G110" i="15"/>
  <c r="I110" i="15"/>
  <c r="G111" i="15"/>
  <c r="I111" i="15"/>
  <c r="G112" i="15"/>
  <c r="I112" i="15"/>
  <c r="G113" i="15"/>
  <c r="I113" i="15"/>
  <c r="G114" i="15"/>
  <c r="I114" i="15"/>
  <c r="G115" i="15"/>
  <c r="I115" i="15"/>
  <c r="G116" i="15"/>
  <c r="I116" i="15"/>
  <c r="I107" i="15"/>
  <c r="G107" i="15"/>
  <c r="M122" i="15"/>
  <c r="M123" i="15" s="1"/>
  <c r="M124" i="15" s="1"/>
  <c r="L122" i="15"/>
  <c r="L123" i="15" s="1"/>
  <c r="L124" i="15" s="1"/>
  <c r="K122" i="15"/>
  <c r="K123" i="15" s="1"/>
  <c r="J122" i="15"/>
  <c r="J123" i="15" s="1"/>
  <c r="J124" i="15" s="1"/>
  <c r="F122" i="15"/>
  <c r="E122" i="15"/>
  <c r="E123" i="15" s="1"/>
  <c r="E124" i="15" s="1"/>
  <c r="D122" i="15"/>
  <c r="D123" i="15" s="1"/>
  <c r="D124" i="15" s="1"/>
  <c r="C122" i="15"/>
  <c r="C123" i="15" s="1"/>
  <c r="M121" i="15"/>
  <c r="M125" i="15" s="1"/>
  <c r="L121" i="15"/>
  <c r="L125" i="15" s="1"/>
  <c r="K121" i="15"/>
  <c r="K125" i="15" s="1"/>
  <c r="J121" i="15"/>
  <c r="F121" i="15"/>
  <c r="E121" i="15"/>
  <c r="E125" i="15" s="1"/>
  <c r="D121" i="15"/>
  <c r="C121" i="15"/>
  <c r="CM80" i="14"/>
  <c r="CM81" i="14" s="1"/>
  <c r="CM82" i="14" s="1"/>
  <c r="CL80" i="14"/>
  <c r="CL81" i="14" s="1"/>
  <c r="CL82" i="14" s="1"/>
  <c r="CK80" i="14"/>
  <c r="CK81" i="14" s="1"/>
  <c r="CK82" i="14" s="1"/>
  <c r="CJ80" i="14"/>
  <c r="C541" i="10" s="1"/>
  <c r="C533" i="10" s="1"/>
  <c r="CF80" i="14"/>
  <c r="CF81" i="14" s="1"/>
  <c r="CE80" i="14"/>
  <c r="CE81" i="14" s="1"/>
  <c r="CE82" i="14" s="1"/>
  <c r="CD80" i="14"/>
  <c r="CD81" i="14" s="1"/>
  <c r="CD82" i="14" s="1"/>
  <c r="CC80" i="14"/>
  <c r="CC81" i="14" s="1"/>
  <c r="BZ80" i="14"/>
  <c r="BZ82" i="14" s="1"/>
  <c r="M527" i="10" s="1"/>
  <c r="BY80" i="14"/>
  <c r="BY81" i="14" s="1"/>
  <c r="BY82" i="14" s="1"/>
  <c r="BX80" i="14"/>
  <c r="BX81" i="14" s="1"/>
  <c r="BX82" i="14" s="1"/>
  <c r="BW80" i="14"/>
  <c r="BW81" i="14" s="1"/>
  <c r="BS80" i="14"/>
  <c r="BS81" i="14" s="1"/>
  <c r="BS82" i="14" s="1"/>
  <c r="BR80" i="14"/>
  <c r="BR81" i="14" s="1"/>
  <c r="BR82" i="14" s="1"/>
  <c r="BQ80" i="14"/>
  <c r="BQ81" i="14" s="1"/>
  <c r="BP80" i="14"/>
  <c r="BP81" i="14" s="1"/>
  <c r="BM80" i="14"/>
  <c r="BM81" i="14" s="1"/>
  <c r="BM82" i="14" s="1"/>
  <c r="BL80" i="14"/>
  <c r="BL81" i="14" s="1"/>
  <c r="BL82" i="14" s="1"/>
  <c r="BK80" i="14"/>
  <c r="BK81" i="14" s="1"/>
  <c r="BK82" i="14" s="1"/>
  <c r="BJ80" i="14"/>
  <c r="BJ81" i="14" s="1"/>
  <c r="BF80" i="14"/>
  <c r="BF81" i="14" s="1"/>
  <c r="BE80" i="14"/>
  <c r="BE81" i="14" s="1"/>
  <c r="BE82" i="14" s="1"/>
  <c r="BD80" i="14"/>
  <c r="BD81" i="14" s="1"/>
  <c r="BD82" i="14" s="1"/>
  <c r="BC80" i="14"/>
  <c r="BC81" i="14" s="1"/>
  <c r="CM79" i="14"/>
  <c r="CL79" i="14"/>
  <c r="CL83" i="14" s="1"/>
  <c r="CK79" i="14"/>
  <c r="CK84" i="14" s="1"/>
  <c r="CJ79" i="14"/>
  <c r="C540" i="10" s="1"/>
  <c r="C532" i="10" s="1"/>
  <c r="CF79" i="14"/>
  <c r="CE79" i="14"/>
  <c r="CD79" i="14"/>
  <c r="CC79" i="14"/>
  <c r="BZ79" i="14"/>
  <c r="BZ83" i="14" s="1"/>
  <c r="BY79" i="14"/>
  <c r="BX79" i="14"/>
  <c r="BW79" i="14"/>
  <c r="BS79" i="14"/>
  <c r="BS83" i="14" s="1"/>
  <c r="BR79" i="14"/>
  <c r="BQ79" i="14"/>
  <c r="BP79" i="14"/>
  <c r="BM79" i="14"/>
  <c r="BM83" i="14" s="1"/>
  <c r="BL79" i="14"/>
  <c r="BK79" i="14"/>
  <c r="BJ79" i="14"/>
  <c r="BF79" i="14"/>
  <c r="BE79" i="14"/>
  <c r="BD79" i="14"/>
  <c r="BC79" i="14"/>
  <c r="CI77" i="14"/>
  <c r="CG77" i="14"/>
  <c r="CI76" i="14"/>
  <c r="CG76" i="14"/>
  <c r="CI75" i="14"/>
  <c r="CG75" i="14"/>
  <c r="CI74" i="14"/>
  <c r="CG74" i="14"/>
  <c r="CI73" i="14"/>
  <c r="CG73" i="14"/>
  <c r="BV73" i="14"/>
  <c r="BT73" i="14"/>
  <c r="BI73" i="14"/>
  <c r="BG73" i="14"/>
  <c r="BH73" i="14" s="1"/>
  <c r="CI72" i="14"/>
  <c r="CG72" i="14"/>
  <c r="BV72" i="14"/>
  <c r="BT72" i="14"/>
  <c r="BI72" i="14"/>
  <c r="BG72" i="14"/>
  <c r="CI71" i="14"/>
  <c r="CG71" i="14"/>
  <c r="BV71" i="14"/>
  <c r="BT71" i="14"/>
  <c r="BI71" i="14"/>
  <c r="BG71" i="14"/>
  <c r="CI70" i="14"/>
  <c r="CG70" i="14"/>
  <c r="BV70" i="14"/>
  <c r="BT70" i="14"/>
  <c r="BI70" i="14"/>
  <c r="BG70" i="14"/>
  <c r="CM103" i="14"/>
  <c r="CM104" i="14" s="1"/>
  <c r="CM105" i="14" s="1"/>
  <c r="CL103" i="14"/>
  <c r="CK103" i="14"/>
  <c r="CJ103" i="14"/>
  <c r="CJ104" i="14" s="1"/>
  <c r="CF103" i="14"/>
  <c r="CE103" i="14"/>
  <c r="CE104" i="14" s="1"/>
  <c r="CE105" i="14" s="1"/>
  <c r="CD103" i="14"/>
  <c r="CD104" i="14" s="1"/>
  <c r="CD105" i="14" s="1"/>
  <c r="CC103" i="14"/>
  <c r="CC104" i="14" s="1"/>
  <c r="CC105" i="14" s="1"/>
  <c r="BZ103" i="14"/>
  <c r="BZ104" i="14" s="1"/>
  <c r="BZ105" i="14" s="1"/>
  <c r="BY103" i="14"/>
  <c r="BY104" i="14" s="1"/>
  <c r="BY105" i="14" s="1"/>
  <c r="BX103" i="14"/>
  <c r="BX104" i="14" s="1"/>
  <c r="BX105" i="14" s="1"/>
  <c r="BW103" i="14"/>
  <c r="BW104" i="14" s="1"/>
  <c r="BS103" i="14"/>
  <c r="BS104" i="14" s="1"/>
  <c r="BS105" i="14" s="1"/>
  <c r="BR103" i="14"/>
  <c r="BR104" i="14" s="1"/>
  <c r="BR105" i="14" s="1"/>
  <c r="BQ103" i="14"/>
  <c r="BQ104" i="14" s="1"/>
  <c r="BQ105" i="14" s="1"/>
  <c r="BP103" i="14"/>
  <c r="CM107" i="14"/>
  <c r="CF106" i="14"/>
  <c r="I232" i="10" s="1"/>
  <c r="BZ102" i="14"/>
  <c r="BY102" i="14"/>
  <c r="BX102" i="14"/>
  <c r="BX106" i="14" s="1"/>
  <c r="BW102" i="14"/>
  <c r="BW106" i="14" s="1"/>
  <c r="BS102" i="14"/>
  <c r="BR102" i="14"/>
  <c r="BQ102" i="14"/>
  <c r="BP102" i="14"/>
  <c r="CI97" i="14"/>
  <c r="CG97" i="14"/>
  <c r="BV97" i="14"/>
  <c r="BT97" i="14"/>
  <c r="CI96" i="14"/>
  <c r="CG96" i="14"/>
  <c r="BV96" i="14"/>
  <c r="BT96" i="14"/>
  <c r="CI95" i="14"/>
  <c r="CI87" i="14" s="1"/>
  <c r="CG95" i="14"/>
  <c r="BV95" i="14"/>
  <c r="BT95" i="14"/>
  <c r="CI94" i="14"/>
  <c r="CG94" i="14"/>
  <c r="BV94" i="14"/>
  <c r="BT94" i="14"/>
  <c r="CI93" i="14"/>
  <c r="CG93" i="14"/>
  <c r="BV93" i="14"/>
  <c r="BT93" i="14"/>
  <c r="CI92" i="14"/>
  <c r="CG92" i="14"/>
  <c r="BV92" i="14"/>
  <c r="BT92" i="14"/>
  <c r="CI91" i="14"/>
  <c r="CG91" i="14"/>
  <c r="BV91" i="14"/>
  <c r="BT91" i="14"/>
  <c r="CI90" i="14"/>
  <c r="CG90" i="14"/>
  <c r="BV90" i="14"/>
  <c r="BT90" i="14"/>
  <c r="CI89" i="14"/>
  <c r="CG89" i="14"/>
  <c r="BV89" i="14"/>
  <c r="BT89" i="14"/>
  <c r="CM125" i="14"/>
  <c r="CM126" i="14" s="1"/>
  <c r="CM127" i="14" s="1"/>
  <c r="CL125" i="14"/>
  <c r="CL126" i="14" s="1"/>
  <c r="CL127" i="14" s="1"/>
  <c r="CK125" i="14"/>
  <c r="CK126" i="14" s="1"/>
  <c r="CK127" i="14" s="1"/>
  <c r="CJ125" i="14"/>
  <c r="CJ126" i="14" s="1"/>
  <c r="CF125" i="14"/>
  <c r="CF126" i="14" s="1"/>
  <c r="CF127" i="14" s="1"/>
  <c r="CE125" i="14"/>
  <c r="CD125" i="14"/>
  <c r="CD126" i="14" s="1"/>
  <c r="CD127" i="14" s="1"/>
  <c r="CC125" i="14"/>
  <c r="CC126" i="14" s="1"/>
  <c r="CM124" i="14"/>
  <c r="CL124" i="14"/>
  <c r="CK124" i="14"/>
  <c r="CJ124" i="14"/>
  <c r="CI120" i="14"/>
  <c r="CG120" i="14"/>
  <c r="CI119" i="14"/>
  <c r="CG119" i="14"/>
  <c r="CI118" i="14"/>
  <c r="CG118" i="14"/>
  <c r="CI117" i="14"/>
  <c r="CG117" i="14"/>
  <c r="CI116" i="14"/>
  <c r="CG116" i="14"/>
  <c r="CI115" i="14"/>
  <c r="CG115" i="14"/>
  <c r="CI114" i="14"/>
  <c r="CG114" i="14"/>
  <c r="CI113" i="14"/>
  <c r="CG113" i="14"/>
  <c r="CI112" i="14"/>
  <c r="CG112" i="14"/>
  <c r="BZ149" i="14"/>
  <c r="BZ150" i="14" s="1"/>
  <c r="BZ151" i="14" s="1"/>
  <c r="BY149" i="14"/>
  <c r="K517" i="10" s="1"/>
  <c r="K493" i="10" s="1"/>
  <c r="BX149" i="14"/>
  <c r="BX150" i="14" s="1"/>
  <c r="BX151" i="14" s="1"/>
  <c r="BW149" i="14"/>
  <c r="BS149" i="14"/>
  <c r="BS150" i="14" s="1"/>
  <c r="BS151" i="14" s="1"/>
  <c r="BR149" i="14"/>
  <c r="BR150" i="14" s="1"/>
  <c r="BR151" i="14" s="1"/>
  <c r="BQ149" i="14"/>
  <c r="BQ150" i="14" s="1"/>
  <c r="BQ151" i="14" s="1"/>
  <c r="BP149" i="14"/>
  <c r="J541" i="10" s="1"/>
  <c r="J533" i="10" s="1"/>
  <c r="BZ148" i="14"/>
  <c r="BY148" i="14"/>
  <c r="BX148" i="14"/>
  <c r="BW148" i="14"/>
  <c r="BS148" i="14"/>
  <c r="BR148" i="14"/>
  <c r="BR152" i="14" s="1"/>
  <c r="BQ148" i="14"/>
  <c r="BP148" i="14"/>
  <c r="J540" i="10" s="1"/>
  <c r="J532" i="10" s="1"/>
  <c r="BV142" i="14"/>
  <c r="BT142" i="14"/>
  <c r="BV141" i="14"/>
  <c r="BT141" i="14"/>
  <c r="BV140" i="14"/>
  <c r="BT140" i="14"/>
  <c r="BV139" i="14"/>
  <c r="BT139" i="14"/>
  <c r="BV138" i="14"/>
  <c r="BT138" i="14"/>
  <c r="BV137" i="14"/>
  <c r="BT137" i="14"/>
  <c r="BV136" i="14"/>
  <c r="BT136" i="14"/>
  <c r="BV135" i="14"/>
  <c r="BT135" i="14"/>
  <c r="BV134" i="14"/>
  <c r="BT134" i="14"/>
  <c r="BM149" i="14"/>
  <c r="BM150" i="14" s="1"/>
  <c r="BM151" i="14" s="1"/>
  <c r="BL149" i="14"/>
  <c r="BL150" i="14" s="1"/>
  <c r="BL151" i="14" s="1"/>
  <c r="BK149" i="14"/>
  <c r="BK150" i="14" s="1"/>
  <c r="BK151" i="14" s="1"/>
  <c r="BJ149" i="14"/>
  <c r="BJ150" i="14" s="1"/>
  <c r="BF149" i="14"/>
  <c r="BE149" i="14"/>
  <c r="BE150" i="14" s="1"/>
  <c r="BE151" i="14" s="1"/>
  <c r="BD149" i="14"/>
  <c r="BD150" i="14" s="1"/>
  <c r="BD151" i="14" s="1"/>
  <c r="BC149" i="14"/>
  <c r="BC150" i="14" s="1"/>
  <c r="BC151" i="14" s="1"/>
  <c r="BM148" i="14"/>
  <c r="BL148" i="14"/>
  <c r="BK148" i="14"/>
  <c r="BJ148" i="14"/>
  <c r="BJ152" i="14" s="1"/>
  <c r="BF148" i="14"/>
  <c r="BF152" i="14" s="1"/>
  <c r="BE148" i="14"/>
  <c r="BE152" i="14" s="1"/>
  <c r="BD148" i="14"/>
  <c r="BC148" i="14"/>
  <c r="BI142" i="14"/>
  <c r="BG142" i="14"/>
  <c r="BI141" i="14"/>
  <c r="BG141" i="14"/>
  <c r="BI140" i="14"/>
  <c r="BG140" i="14"/>
  <c r="BI139" i="14"/>
  <c r="BG139" i="14"/>
  <c r="BI138" i="14"/>
  <c r="BG138" i="14"/>
  <c r="BI137" i="14"/>
  <c r="BG137" i="14"/>
  <c r="BI136" i="14"/>
  <c r="BG136" i="14"/>
  <c r="BI135" i="14"/>
  <c r="BG135" i="14"/>
  <c r="BI134" i="14"/>
  <c r="BG134" i="14"/>
  <c r="BM125" i="14"/>
  <c r="BM126" i="14" s="1"/>
  <c r="BM127" i="14" s="1"/>
  <c r="BL125" i="14"/>
  <c r="BL126" i="14" s="1"/>
  <c r="BL127" i="14" s="1"/>
  <c r="BK125" i="14"/>
  <c r="BK126" i="14" s="1"/>
  <c r="BK127" i="14" s="1"/>
  <c r="BJ125" i="14"/>
  <c r="BJ126" i="14" s="1"/>
  <c r="BF125" i="14"/>
  <c r="BE125" i="14"/>
  <c r="BD125" i="14"/>
  <c r="BC125" i="14"/>
  <c r="BC126" i="14" s="1"/>
  <c r="BC127" i="14" s="1"/>
  <c r="BM124" i="14"/>
  <c r="BL124" i="14"/>
  <c r="BK124" i="14"/>
  <c r="BJ124" i="14"/>
  <c r="BF124" i="14"/>
  <c r="BF128" i="14" s="1"/>
  <c r="BE124" i="14"/>
  <c r="BE128" i="14" s="1"/>
  <c r="BD124" i="14"/>
  <c r="BC124" i="14"/>
  <c r="BI120" i="14"/>
  <c r="BG120" i="14"/>
  <c r="BI119" i="14"/>
  <c r="BG119" i="14"/>
  <c r="BI118" i="14"/>
  <c r="BG118" i="14"/>
  <c r="BI117" i="14"/>
  <c r="BG117" i="14"/>
  <c r="BI116" i="14"/>
  <c r="BG116" i="14"/>
  <c r="BI115" i="14"/>
  <c r="BG115" i="14"/>
  <c r="BI114" i="14"/>
  <c r="BG114" i="14"/>
  <c r="BI113" i="14"/>
  <c r="BG113" i="14"/>
  <c r="BI112" i="14"/>
  <c r="BG112" i="14"/>
  <c r="AZ149" i="14"/>
  <c r="AZ150" i="14" s="1"/>
  <c r="AZ151" i="14" s="1"/>
  <c r="AY149" i="14"/>
  <c r="AY150" i="14" s="1"/>
  <c r="AY151" i="14" s="1"/>
  <c r="AX149" i="14"/>
  <c r="AX150" i="14" s="1"/>
  <c r="AX151" i="14" s="1"/>
  <c r="AW149" i="14"/>
  <c r="AW150" i="14" s="1"/>
  <c r="AS149" i="14"/>
  <c r="AR149" i="14"/>
  <c r="AQ149" i="14"/>
  <c r="AQ150" i="14" s="1"/>
  <c r="AQ151" i="14" s="1"/>
  <c r="AP149" i="14"/>
  <c r="AP150" i="14" s="1"/>
  <c r="AZ148" i="14"/>
  <c r="AY148" i="14"/>
  <c r="AX148" i="14"/>
  <c r="AW148" i="14"/>
  <c r="AS148" i="14"/>
  <c r="AR148" i="14"/>
  <c r="B556" i="10" s="1"/>
  <c r="B532" i="10" s="1"/>
  <c r="AQ148" i="14"/>
  <c r="AP148" i="14"/>
  <c r="AV142" i="14"/>
  <c r="AT142" i="14"/>
  <c r="AV141" i="14"/>
  <c r="AT141" i="14"/>
  <c r="AV140" i="14"/>
  <c r="AT140" i="14"/>
  <c r="AV139" i="14"/>
  <c r="AT139" i="14"/>
  <c r="AV138" i="14"/>
  <c r="AT138" i="14"/>
  <c r="AV137" i="14"/>
  <c r="AT137" i="14"/>
  <c r="AV136" i="14"/>
  <c r="AT136" i="14"/>
  <c r="AV135" i="14"/>
  <c r="AT135" i="14"/>
  <c r="AV134" i="14"/>
  <c r="AT134" i="14"/>
  <c r="AZ125" i="14"/>
  <c r="AZ126" i="14" s="1"/>
  <c r="AZ127" i="14" s="1"/>
  <c r="AY125" i="14"/>
  <c r="AY126" i="14" s="1"/>
  <c r="AY127" i="14" s="1"/>
  <c r="AX125" i="14"/>
  <c r="AX126" i="14" s="1"/>
  <c r="AX127" i="14" s="1"/>
  <c r="AW125" i="14"/>
  <c r="AW126" i="14" s="1"/>
  <c r="AS125" i="14"/>
  <c r="AR125" i="14"/>
  <c r="AR126" i="14" s="1"/>
  <c r="AR127" i="14" s="1"/>
  <c r="AQ125" i="14"/>
  <c r="AP125" i="14"/>
  <c r="AP126" i="14" s="1"/>
  <c r="AZ124" i="14"/>
  <c r="AY124" i="14"/>
  <c r="AX124" i="14"/>
  <c r="AX128" i="14" s="1"/>
  <c r="AW124" i="14"/>
  <c r="AS124" i="14"/>
  <c r="AR124" i="14"/>
  <c r="AR128" i="14" s="1"/>
  <c r="AQ124" i="14"/>
  <c r="AP124" i="14"/>
  <c r="AV118" i="14"/>
  <c r="AT118" i="14"/>
  <c r="AV117" i="14"/>
  <c r="AT117" i="14"/>
  <c r="AV116" i="14"/>
  <c r="AT116" i="14"/>
  <c r="AV115" i="14"/>
  <c r="AT115" i="14"/>
  <c r="AV114" i="14"/>
  <c r="AT114" i="14"/>
  <c r="AV113" i="14"/>
  <c r="AT113" i="14"/>
  <c r="AV112" i="14"/>
  <c r="AT112" i="14"/>
  <c r="AZ103" i="14"/>
  <c r="AZ104" i="14" s="1"/>
  <c r="AZ105" i="14" s="1"/>
  <c r="AY103" i="14"/>
  <c r="AY104" i="14" s="1"/>
  <c r="AY105" i="14" s="1"/>
  <c r="AX103" i="14"/>
  <c r="AX104" i="14" s="1"/>
  <c r="AX105" i="14" s="1"/>
  <c r="AW103" i="14"/>
  <c r="AS103" i="14"/>
  <c r="AS104" i="14" s="1"/>
  <c r="AR103" i="14"/>
  <c r="AR104" i="14" s="1"/>
  <c r="AR105" i="14" s="1"/>
  <c r="AQ103" i="14"/>
  <c r="AQ104" i="14" s="1"/>
  <c r="AQ105" i="14" s="1"/>
  <c r="AP103" i="14"/>
  <c r="AP104" i="14" s="1"/>
  <c r="AP105" i="14" s="1"/>
  <c r="AZ102" i="14"/>
  <c r="AY102" i="14"/>
  <c r="AX102" i="14"/>
  <c r="AW102" i="14"/>
  <c r="AS102" i="14"/>
  <c r="AS106" i="14" s="1"/>
  <c r="AR102" i="14"/>
  <c r="AQ102" i="14"/>
  <c r="AP102" i="14"/>
  <c r="AV97" i="14"/>
  <c r="AT97" i="14"/>
  <c r="AV96" i="14"/>
  <c r="AT96" i="14"/>
  <c r="AV95" i="14"/>
  <c r="AT95" i="14"/>
  <c r="AV94" i="14"/>
  <c r="AT94" i="14"/>
  <c r="AV93" i="14"/>
  <c r="AT93" i="14"/>
  <c r="AV92" i="14"/>
  <c r="AT92" i="14"/>
  <c r="AV91" i="14"/>
  <c r="AT91" i="14"/>
  <c r="AV90" i="14"/>
  <c r="AT90" i="14"/>
  <c r="AV89" i="14"/>
  <c r="AT89" i="14"/>
  <c r="AM149" i="14"/>
  <c r="AM150" i="14" s="1"/>
  <c r="AM151" i="14" s="1"/>
  <c r="AL149" i="14"/>
  <c r="AL150" i="14" s="1"/>
  <c r="AL151" i="14" s="1"/>
  <c r="AK149" i="14"/>
  <c r="AK150" i="14" s="1"/>
  <c r="AK151" i="14" s="1"/>
  <c r="AJ149" i="14"/>
  <c r="AJ150" i="14" s="1"/>
  <c r="AF149" i="14"/>
  <c r="AF150" i="14" s="1"/>
  <c r="AF151" i="14" s="1"/>
  <c r="AE149" i="14"/>
  <c r="AE150" i="14" s="1"/>
  <c r="AE151" i="14" s="1"/>
  <c r="AD149" i="14"/>
  <c r="AC149" i="14"/>
  <c r="AC150" i="14" s="1"/>
  <c r="AM148" i="14"/>
  <c r="AL148" i="14"/>
  <c r="AK148" i="14"/>
  <c r="AK152" i="14" s="1"/>
  <c r="AJ148" i="14"/>
  <c r="AF148" i="14"/>
  <c r="AF152" i="14" s="1"/>
  <c r="AE148" i="14"/>
  <c r="AD148" i="14"/>
  <c r="E548" i="10" s="1"/>
  <c r="E532" i="10" s="1"/>
  <c r="AC148" i="14"/>
  <c r="AI140" i="14"/>
  <c r="AG140" i="14"/>
  <c r="AI139" i="14"/>
  <c r="AG139" i="14"/>
  <c r="AI138" i="14"/>
  <c r="AG138" i="14"/>
  <c r="AI137" i="14"/>
  <c r="AG137" i="14"/>
  <c r="AI136" i="14"/>
  <c r="AG136" i="14"/>
  <c r="AI135" i="14"/>
  <c r="AG135" i="14"/>
  <c r="AI134" i="14"/>
  <c r="AG134" i="14"/>
  <c r="AM125" i="14"/>
  <c r="AM126" i="14" s="1"/>
  <c r="AM127" i="14" s="1"/>
  <c r="AL125" i="14"/>
  <c r="AL126" i="14" s="1"/>
  <c r="AL127" i="14" s="1"/>
  <c r="AK125" i="14"/>
  <c r="AK126" i="14" s="1"/>
  <c r="AK127" i="14" s="1"/>
  <c r="AJ125" i="14"/>
  <c r="AF125" i="14"/>
  <c r="AF126" i="14" s="1"/>
  <c r="AF127" i="14" s="1"/>
  <c r="AE125" i="14"/>
  <c r="AE126" i="14" s="1"/>
  <c r="AE127" i="14" s="1"/>
  <c r="AD125" i="14"/>
  <c r="AD126" i="14" s="1"/>
  <c r="AD127" i="14" s="1"/>
  <c r="AC125" i="14"/>
  <c r="AM124" i="14"/>
  <c r="AL124" i="14"/>
  <c r="AL128" i="14" s="1"/>
  <c r="AK124" i="14"/>
  <c r="AJ124" i="14"/>
  <c r="AF124" i="14"/>
  <c r="AF128" i="14" s="1"/>
  <c r="AE124" i="14"/>
  <c r="AD124" i="14"/>
  <c r="AC124" i="14"/>
  <c r="AI120" i="14"/>
  <c r="AG120" i="14"/>
  <c r="AI119" i="14"/>
  <c r="AG119" i="14"/>
  <c r="AI118" i="14"/>
  <c r="AG118" i="14"/>
  <c r="AI117" i="14"/>
  <c r="AG117" i="14"/>
  <c r="AI116" i="14"/>
  <c r="AG116" i="14"/>
  <c r="AI115" i="14"/>
  <c r="AG115" i="14"/>
  <c r="AI114" i="14"/>
  <c r="AG114" i="14"/>
  <c r="AI113" i="14"/>
  <c r="AG113" i="14"/>
  <c r="AI112" i="14"/>
  <c r="AG112" i="14"/>
  <c r="AM103" i="14"/>
  <c r="AM104" i="14" s="1"/>
  <c r="AM105" i="14" s="1"/>
  <c r="AL103" i="14"/>
  <c r="AL104" i="14" s="1"/>
  <c r="AL105" i="14" s="1"/>
  <c r="AK103" i="14"/>
  <c r="AK104" i="14" s="1"/>
  <c r="AK105" i="14" s="1"/>
  <c r="AJ103" i="14"/>
  <c r="AJ104" i="14" s="1"/>
  <c r="AF103" i="14"/>
  <c r="AE103" i="14"/>
  <c r="AD103" i="14"/>
  <c r="AC103" i="14"/>
  <c r="AC104" i="14" s="1"/>
  <c r="AM102" i="14"/>
  <c r="AM106" i="14" s="1"/>
  <c r="AL102" i="14"/>
  <c r="AK102" i="14"/>
  <c r="AJ102" i="14"/>
  <c r="AJ106" i="14" s="1"/>
  <c r="AF102" i="14"/>
  <c r="AE102" i="14"/>
  <c r="AE106" i="14" s="1"/>
  <c r="AD102" i="14"/>
  <c r="AC102" i="14"/>
  <c r="AI97" i="14"/>
  <c r="AG97" i="14"/>
  <c r="AI96" i="14"/>
  <c r="AG96" i="14"/>
  <c r="AI95" i="14"/>
  <c r="AG95" i="14"/>
  <c r="AI94" i="14"/>
  <c r="AG94" i="14"/>
  <c r="AI93" i="14"/>
  <c r="AG93" i="14"/>
  <c r="AI92" i="14"/>
  <c r="AG92" i="14"/>
  <c r="AI91" i="14"/>
  <c r="AG91" i="14"/>
  <c r="AI90" i="14"/>
  <c r="AG90" i="14"/>
  <c r="AI89" i="14"/>
  <c r="AG89" i="14"/>
  <c r="Z149" i="14"/>
  <c r="Z150" i="14" s="1"/>
  <c r="Z151" i="14" s="1"/>
  <c r="Y149" i="14"/>
  <c r="Y150" i="14" s="1"/>
  <c r="Y151" i="14" s="1"/>
  <c r="X149" i="14"/>
  <c r="X150" i="14" s="1"/>
  <c r="X151" i="14" s="1"/>
  <c r="W149" i="14"/>
  <c r="W150" i="14" s="1"/>
  <c r="S149" i="14"/>
  <c r="R149" i="14"/>
  <c r="R150" i="14" s="1"/>
  <c r="R151" i="14" s="1"/>
  <c r="Q149" i="14"/>
  <c r="Q150" i="14" s="1"/>
  <c r="Q151" i="14" s="1"/>
  <c r="P149" i="14"/>
  <c r="Z148" i="14"/>
  <c r="Y148" i="14"/>
  <c r="X148" i="14"/>
  <c r="X152" i="14" s="1"/>
  <c r="W148" i="14"/>
  <c r="S148" i="14"/>
  <c r="M556" i="10" s="1"/>
  <c r="M532" i="10" s="1"/>
  <c r="R148" i="14"/>
  <c r="R152" i="14" s="1"/>
  <c r="Q148" i="14"/>
  <c r="P148" i="14"/>
  <c r="V142" i="14"/>
  <c r="T142" i="14"/>
  <c r="V141" i="14"/>
  <c r="T141" i="14"/>
  <c r="V140" i="14"/>
  <c r="T140" i="14"/>
  <c r="V139" i="14"/>
  <c r="T139" i="14"/>
  <c r="V138" i="14"/>
  <c r="T138" i="14"/>
  <c r="V137" i="14"/>
  <c r="T137" i="14"/>
  <c r="V136" i="14"/>
  <c r="T136" i="14"/>
  <c r="V135" i="14"/>
  <c r="T135" i="14"/>
  <c r="V134" i="14"/>
  <c r="T134" i="14"/>
  <c r="Z125" i="14"/>
  <c r="Z126" i="14" s="1"/>
  <c r="Z127" i="14" s="1"/>
  <c r="Y125" i="14"/>
  <c r="Y126" i="14" s="1"/>
  <c r="Y127" i="14" s="1"/>
  <c r="X125" i="14"/>
  <c r="X126" i="14" s="1"/>
  <c r="X127" i="14" s="1"/>
  <c r="W125" i="14"/>
  <c r="W126" i="14" s="1"/>
  <c r="W127" i="14" s="1"/>
  <c r="S125" i="14"/>
  <c r="S126" i="14" s="1"/>
  <c r="S127" i="14" s="1"/>
  <c r="R125" i="14"/>
  <c r="Q125" i="14"/>
  <c r="Q126" i="14" s="1"/>
  <c r="Q127" i="14" s="1"/>
  <c r="P125" i="14"/>
  <c r="Z124" i="14"/>
  <c r="Y124" i="14"/>
  <c r="Y128" i="14" s="1"/>
  <c r="X124" i="14"/>
  <c r="W124" i="14"/>
  <c r="S124" i="14"/>
  <c r="S128" i="14" s="1"/>
  <c r="R124" i="14"/>
  <c r="Q124" i="14"/>
  <c r="P124" i="14"/>
  <c r="V118" i="14"/>
  <c r="T118" i="14"/>
  <c r="V117" i="14"/>
  <c r="T117" i="14"/>
  <c r="V116" i="14"/>
  <c r="T116" i="14"/>
  <c r="V115" i="14"/>
  <c r="T115" i="14"/>
  <c r="V114" i="14"/>
  <c r="T114" i="14"/>
  <c r="V113" i="14"/>
  <c r="T113" i="14"/>
  <c r="V112" i="14"/>
  <c r="T112" i="14"/>
  <c r="Z103" i="14"/>
  <c r="Z104" i="14" s="1"/>
  <c r="Z105" i="14" s="1"/>
  <c r="Y103" i="14"/>
  <c r="Y104" i="14" s="1"/>
  <c r="Y105" i="14" s="1"/>
  <c r="X103" i="14"/>
  <c r="X104" i="14" s="1"/>
  <c r="X105" i="14" s="1"/>
  <c r="W103" i="14"/>
  <c r="W104" i="14" s="1"/>
  <c r="S103" i="14"/>
  <c r="S104" i="14" s="1"/>
  <c r="S105" i="14" s="1"/>
  <c r="R103" i="14"/>
  <c r="R104" i="14" s="1"/>
  <c r="R105" i="14" s="1"/>
  <c r="Q103" i="14"/>
  <c r="Q104" i="14" s="1"/>
  <c r="Q105" i="14" s="1"/>
  <c r="P103" i="14"/>
  <c r="P104" i="14" s="1"/>
  <c r="Z102" i="14"/>
  <c r="Z106" i="14" s="1"/>
  <c r="Y102" i="14"/>
  <c r="X102" i="14"/>
  <c r="W102" i="14"/>
  <c r="S102" i="14"/>
  <c r="R102" i="14"/>
  <c r="R106" i="14" s="1"/>
  <c r="Q102" i="14"/>
  <c r="Q106" i="14" s="1"/>
  <c r="P102" i="14"/>
  <c r="V97" i="14"/>
  <c r="T97" i="14"/>
  <c r="V96" i="14"/>
  <c r="T96" i="14"/>
  <c r="V95" i="14"/>
  <c r="T95" i="14"/>
  <c r="V94" i="14"/>
  <c r="T94" i="14"/>
  <c r="V93" i="14"/>
  <c r="T93" i="14"/>
  <c r="V92" i="14"/>
  <c r="T92" i="14"/>
  <c r="V91" i="14"/>
  <c r="T91" i="14"/>
  <c r="V90" i="14"/>
  <c r="T90" i="14"/>
  <c r="V89" i="14"/>
  <c r="T89" i="14"/>
  <c r="G139" i="14"/>
  <c r="I139" i="14"/>
  <c r="G140" i="14"/>
  <c r="I140" i="14"/>
  <c r="G141" i="14"/>
  <c r="I141" i="14"/>
  <c r="G142" i="14"/>
  <c r="I142" i="14"/>
  <c r="G135" i="14"/>
  <c r="I135" i="14"/>
  <c r="G136" i="14"/>
  <c r="I136" i="14"/>
  <c r="G137" i="14"/>
  <c r="I137" i="14"/>
  <c r="G138" i="14"/>
  <c r="I138" i="14"/>
  <c r="I134" i="14"/>
  <c r="G134" i="14"/>
  <c r="G117" i="14"/>
  <c r="I117" i="14"/>
  <c r="G118" i="14"/>
  <c r="I118" i="14"/>
  <c r="G119" i="14"/>
  <c r="I119" i="14"/>
  <c r="G120" i="14"/>
  <c r="I120" i="14"/>
  <c r="G94" i="14"/>
  <c r="I94" i="14"/>
  <c r="G95" i="14"/>
  <c r="I95" i="14"/>
  <c r="G96" i="14"/>
  <c r="I96" i="14"/>
  <c r="G97" i="14"/>
  <c r="I97" i="14"/>
  <c r="G113" i="14"/>
  <c r="I113" i="14"/>
  <c r="G114" i="14"/>
  <c r="I114" i="14"/>
  <c r="G115" i="14"/>
  <c r="I115" i="14"/>
  <c r="G116" i="14"/>
  <c r="I116" i="14"/>
  <c r="I112" i="14"/>
  <c r="G112" i="14"/>
  <c r="G90" i="14"/>
  <c r="I90" i="14"/>
  <c r="G91" i="14"/>
  <c r="I91" i="14"/>
  <c r="G92" i="14"/>
  <c r="I92" i="14"/>
  <c r="G93" i="14"/>
  <c r="I93" i="14"/>
  <c r="I89" i="14"/>
  <c r="G89" i="14"/>
  <c r="M149" i="14"/>
  <c r="M150" i="14" s="1"/>
  <c r="M151" i="14" s="1"/>
  <c r="L149" i="14"/>
  <c r="L150" i="14" s="1"/>
  <c r="L151" i="14" s="1"/>
  <c r="K149" i="14"/>
  <c r="K150" i="14" s="1"/>
  <c r="K151" i="14" s="1"/>
  <c r="J149" i="14"/>
  <c r="F149" i="14"/>
  <c r="F150" i="14" s="1"/>
  <c r="E149" i="14"/>
  <c r="E150" i="14" s="1"/>
  <c r="E151" i="14" s="1"/>
  <c r="D149" i="14"/>
  <c r="D150" i="14" s="1"/>
  <c r="D151" i="14" s="1"/>
  <c r="C149" i="14"/>
  <c r="C150" i="14" s="1"/>
  <c r="M148" i="14"/>
  <c r="M152" i="14" s="1"/>
  <c r="L148" i="14"/>
  <c r="K148" i="14"/>
  <c r="J148" i="14"/>
  <c r="F148" i="14"/>
  <c r="E148" i="14"/>
  <c r="D148" i="14"/>
  <c r="C148" i="14"/>
  <c r="M125" i="14"/>
  <c r="M126" i="14" s="1"/>
  <c r="M127" i="14" s="1"/>
  <c r="L125" i="14"/>
  <c r="L126" i="14" s="1"/>
  <c r="L127" i="14" s="1"/>
  <c r="K125" i="14"/>
  <c r="K126" i="14" s="1"/>
  <c r="J125" i="14"/>
  <c r="F125" i="14"/>
  <c r="F126" i="14" s="1"/>
  <c r="E125" i="14"/>
  <c r="E126" i="14" s="1"/>
  <c r="E127" i="14" s="1"/>
  <c r="D125" i="14"/>
  <c r="D126" i="14" s="1"/>
  <c r="D127" i="14" s="1"/>
  <c r="C125" i="14"/>
  <c r="C126" i="14" s="1"/>
  <c r="M124" i="14"/>
  <c r="L124" i="14"/>
  <c r="K124" i="14"/>
  <c r="J124" i="14"/>
  <c r="J128" i="14" s="1"/>
  <c r="F124" i="14"/>
  <c r="E124" i="14"/>
  <c r="D124" i="14"/>
  <c r="C124" i="14"/>
  <c r="M103" i="14"/>
  <c r="M104" i="14" s="1"/>
  <c r="M105" i="14" s="1"/>
  <c r="L103" i="14"/>
  <c r="L104" i="14" s="1"/>
  <c r="L105" i="14" s="1"/>
  <c r="K103" i="14"/>
  <c r="K104" i="14" s="1"/>
  <c r="K105" i="14" s="1"/>
  <c r="J103" i="14"/>
  <c r="J104" i="14" s="1"/>
  <c r="F103" i="14"/>
  <c r="F104" i="14" s="1"/>
  <c r="E103" i="14"/>
  <c r="E104" i="14" s="1"/>
  <c r="D103" i="14"/>
  <c r="D104" i="14" s="1"/>
  <c r="D105" i="14" s="1"/>
  <c r="C103" i="14"/>
  <c r="C104" i="14" s="1"/>
  <c r="M102" i="14"/>
  <c r="L102" i="14"/>
  <c r="L106" i="14" s="1"/>
  <c r="K102" i="14"/>
  <c r="J102" i="14"/>
  <c r="F102" i="14"/>
  <c r="E102" i="14"/>
  <c r="D102" i="14"/>
  <c r="C102" i="14"/>
  <c r="CM61" i="14"/>
  <c r="CM62" i="14" s="1"/>
  <c r="CM63" i="14" s="1"/>
  <c r="CL61" i="14"/>
  <c r="CL62" i="14" s="1"/>
  <c r="CL63" i="14" s="1"/>
  <c r="CK61" i="14"/>
  <c r="CK62" i="14" s="1"/>
  <c r="CJ61" i="14"/>
  <c r="CF61" i="14"/>
  <c r="CF62" i="14" s="1"/>
  <c r="CF63" i="14" s="1"/>
  <c r="CE61" i="14"/>
  <c r="CE62" i="14" s="1"/>
  <c r="CE63" i="14" s="1"/>
  <c r="CD61" i="14"/>
  <c r="CC61" i="14"/>
  <c r="CC62" i="14" s="1"/>
  <c r="CM60" i="14"/>
  <c r="CM64" i="14" s="1"/>
  <c r="CL60" i="14"/>
  <c r="CL65" i="14" s="1"/>
  <c r="CK60" i="14"/>
  <c r="CK64" i="14" s="1"/>
  <c r="CJ60" i="14"/>
  <c r="CF60" i="14"/>
  <c r="CF64" i="14" s="1"/>
  <c r="CE60" i="14"/>
  <c r="CE64" i="14" s="1"/>
  <c r="CD60" i="14"/>
  <c r="CC60" i="14"/>
  <c r="CC64" i="14" s="1"/>
  <c r="CI53" i="14"/>
  <c r="CG53" i="14"/>
  <c r="CI52" i="14"/>
  <c r="CG52" i="14"/>
  <c r="CI51" i="14"/>
  <c r="CG51" i="14"/>
  <c r="CI50" i="14"/>
  <c r="CG50" i="14"/>
  <c r="CI49" i="14"/>
  <c r="CG49" i="14"/>
  <c r="CI48" i="14"/>
  <c r="CG48" i="14"/>
  <c r="CI47" i="14"/>
  <c r="CG47" i="14"/>
  <c r="CI46" i="14"/>
  <c r="CG46" i="14"/>
  <c r="CI45" i="14"/>
  <c r="CG45" i="14"/>
  <c r="CM36" i="14"/>
  <c r="CL36" i="14"/>
  <c r="CL38" i="14" s="1"/>
  <c r="L583" i="10" s="1"/>
  <c r="CK36" i="14"/>
  <c r="CK37" i="14" s="1"/>
  <c r="CK38" i="14" s="1"/>
  <c r="CJ36" i="14"/>
  <c r="CJ37" i="14" s="1"/>
  <c r="CF36" i="14"/>
  <c r="CF37" i="14" s="1"/>
  <c r="CF38" i="14" s="1"/>
  <c r="CE36" i="14"/>
  <c r="CD36" i="14"/>
  <c r="CD37" i="14" s="1"/>
  <c r="CD38" i="14" s="1"/>
  <c r="CC36" i="14"/>
  <c r="CM35" i="14"/>
  <c r="CL35" i="14"/>
  <c r="CK35" i="14"/>
  <c r="CJ35" i="14"/>
  <c r="CF35" i="14"/>
  <c r="CF39" i="14" s="1"/>
  <c r="CE35" i="14"/>
  <c r="CD35" i="14"/>
  <c r="CD40" i="14" s="1"/>
  <c r="CC35" i="14"/>
  <c r="CC39" i="14" s="1"/>
  <c r="CI29" i="14"/>
  <c r="CG29" i="14"/>
  <c r="CI28" i="14"/>
  <c r="CG28" i="14"/>
  <c r="CI27" i="14"/>
  <c r="CG27" i="14"/>
  <c r="CI26" i="14"/>
  <c r="CG26" i="14"/>
  <c r="CI25" i="14"/>
  <c r="CG25" i="14"/>
  <c r="CI24" i="14"/>
  <c r="CG24" i="14"/>
  <c r="CM15" i="14"/>
  <c r="CM16" i="14" s="1"/>
  <c r="CM17" i="14" s="1"/>
  <c r="CL15" i="14"/>
  <c r="CL16" i="14" s="1"/>
  <c r="CL17" i="14" s="1"/>
  <c r="CK15" i="14"/>
  <c r="CK16" i="14" s="1"/>
  <c r="CK17" i="14" s="1"/>
  <c r="CJ15" i="14"/>
  <c r="CF15" i="14"/>
  <c r="CF16" i="14" s="1"/>
  <c r="CF17" i="14" s="1"/>
  <c r="CE15" i="14"/>
  <c r="CE16" i="14" s="1"/>
  <c r="CE17" i="14" s="1"/>
  <c r="CD15" i="14"/>
  <c r="CD16" i="14" s="1"/>
  <c r="CD17" i="14" s="1"/>
  <c r="CC15" i="14"/>
  <c r="CM14" i="14"/>
  <c r="CL14" i="14"/>
  <c r="CK14" i="14"/>
  <c r="CJ14" i="14"/>
  <c r="CF14" i="14"/>
  <c r="CE14" i="14"/>
  <c r="CD14" i="14"/>
  <c r="CC14" i="14"/>
  <c r="CI10" i="14"/>
  <c r="CG10" i="14"/>
  <c r="CI9" i="14"/>
  <c r="CG9" i="14"/>
  <c r="CI8" i="14"/>
  <c r="CG8" i="14"/>
  <c r="CI7" i="14"/>
  <c r="CG7" i="14"/>
  <c r="CI6" i="14"/>
  <c r="CG6" i="14"/>
  <c r="CI5" i="14"/>
  <c r="CG5" i="14"/>
  <c r="BZ61" i="14"/>
  <c r="BZ62" i="14" s="1"/>
  <c r="BZ63" i="14" s="1"/>
  <c r="BY61" i="14"/>
  <c r="BY62" i="14" s="1"/>
  <c r="BY63" i="14" s="1"/>
  <c r="BX61" i="14"/>
  <c r="BX62" i="14" s="1"/>
  <c r="BX63" i="14" s="1"/>
  <c r="BW61" i="14"/>
  <c r="B501" i="10" s="1"/>
  <c r="B493" i="10" s="1"/>
  <c r="BS61" i="14"/>
  <c r="BS62" i="14" s="1"/>
  <c r="BS63" i="14" s="1"/>
  <c r="BR61" i="14"/>
  <c r="BR62" i="14" s="1"/>
  <c r="BR63" i="14" s="1"/>
  <c r="BQ61" i="14"/>
  <c r="BQ62" i="14" s="1"/>
  <c r="BQ63" i="14" s="1"/>
  <c r="BP61" i="14"/>
  <c r="BZ60" i="14"/>
  <c r="BY60" i="14"/>
  <c r="BY65" i="14" s="1"/>
  <c r="BX60" i="14"/>
  <c r="BW60" i="14"/>
  <c r="B500" i="10" s="1"/>
  <c r="B492" i="10" s="1"/>
  <c r="BS60" i="14"/>
  <c r="BR60" i="14"/>
  <c r="BQ60" i="14"/>
  <c r="BQ64" i="14" s="1"/>
  <c r="BP60" i="14"/>
  <c r="BZ36" i="14"/>
  <c r="BZ37" i="14" s="1"/>
  <c r="BZ38" i="14" s="1"/>
  <c r="BY36" i="14"/>
  <c r="BY38" i="14" s="1"/>
  <c r="I519" i="10" s="1"/>
  <c r="BX36" i="14"/>
  <c r="BX37" i="14" s="1"/>
  <c r="BX38" i="14" s="1"/>
  <c r="BW36" i="14"/>
  <c r="BW37" i="14" s="1"/>
  <c r="BS36" i="14"/>
  <c r="BS37" i="14" s="1"/>
  <c r="BS38" i="14" s="1"/>
  <c r="BR36" i="14"/>
  <c r="BR37" i="14" s="1"/>
  <c r="BQ36" i="14"/>
  <c r="BQ37" i="14" s="1"/>
  <c r="BQ38" i="14" s="1"/>
  <c r="BP36" i="14"/>
  <c r="BZ35" i="14"/>
  <c r="BZ40" i="14" s="1"/>
  <c r="BY35" i="14"/>
  <c r="BX35" i="14"/>
  <c r="BW35" i="14"/>
  <c r="BS35" i="14"/>
  <c r="BR35" i="14"/>
  <c r="BQ35" i="14"/>
  <c r="BP35" i="14"/>
  <c r="BV29" i="14"/>
  <c r="BT29" i="14"/>
  <c r="BV28" i="14"/>
  <c r="BT28" i="14"/>
  <c r="BV27" i="14"/>
  <c r="BT27" i="14"/>
  <c r="BV26" i="14"/>
  <c r="BT26" i="14"/>
  <c r="BV25" i="14"/>
  <c r="BT25" i="14"/>
  <c r="BV24" i="14"/>
  <c r="BT24" i="14"/>
  <c r="BZ15" i="14"/>
  <c r="BZ16" i="14" s="1"/>
  <c r="BZ17" i="14" s="1"/>
  <c r="BY15" i="14"/>
  <c r="BY16" i="14" s="1"/>
  <c r="BY17" i="14" s="1"/>
  <c r="BX15" i="14"/>
  <c r="BX16" i="14" s="1"/>
  <c r="BX17" i="14" s="1"/>
  <c r="BW15" i="14"/>
  <c r="BW16" i="14" s="1"/>
  <c r="BS15" i="14"/>
  <c r="BR15" i="14"/>
  <c r="BR16" i="14" s="1"/>
  <c r="BR17" i="14" s="1"/>
  <c r="BQ15" i="14"/>
  <c r="BQ16" i="14" s="1"/>
  <c r="BQ17" i="14" s="1"/>
  <c r="BP15" i="14"/>
  <c r="BZ14" i="14"/>
  <c r="BY14" i="14"/>
  <c r="BX14" i="14"/>
  <c r="BW14" i="14"/>
  <c r="BS14" i="14"/>
  <c r="BS18" i="14" s="1"/>
  <c r="BR14" i="14"/>
  <c r="BQ14" i="14"/>
  <c r="BP14" i="14"/>
  <c r="BV10" i="14"/>
  <c r="BT10" i="14"/>
  <c r="BV9" i="14"/>
  <c r="BT9" i="14"/>
  <c r="BV8" i="14"/>
  <c r="BT8" i="14"/>
  <c r="BV7" i="14"/>
  <c r="BT7" i="14"/>
  <c r="BV6" i="14"/>
  <c r="BT6" i="14"/>
  <c r="BV5" i="14"/>
  <c r="BT5" i="14"/>
  <c r="BM61" i="14"/>
  <c r="BM62" i="14" s="1"/>
  <c r="BM63" i="14" s="1"/>
  <c r="BL61" i="14"/>
  <c r="BL62" i="14" s="1"/>
  <c r="BK61" i="14"/>
  <c r="BJ61" i="14"/>
  <c r="BF61" i="14"/>
  <c r="BF62" i="14" s="1"/>
  <c r="BF63" i="14" s="1"/>
  <c r="BE61" i="14"/>
  <c r="BE62" i="14" s="1"/>
  <c r="BE63" i="14" s="1"/>
  <c r="BD61" i="14"/>
  <c r="BD62" i="14" s="1"/>
  <c r="BD63" i="14" s="1"/>
  <c r="BC61" i="14"/>
  <c r="BC62" i="14" s="1"/>
  <c r="BM64" i="14"/>
  <c r="L232" i="10" s="1"/>
  <c r="BL64" i="14"/>
  <c r="L224" i="10" s="1"/>
  <c r="BI56" i="14"/>
  <c r="BG56" i="14"/>
  <c r="BI55" i="14"/>
  <c r="BG55" i="14"/>
  <c r="BI54" i="14"/>
  <c r="BG54" i="14"/>
  <c r="BI53" i="14"/>
  <c r="BG53" i="14"/>
  <c r="BI52" i="14"/>
  <c r="BG52" i="14"/>
  <c r="BI51" i="14"/>
  <c r="BG51" i="14"/>
  <c r="BI50" i="14"/>
  <c r="BG50" i="14"/>
  <c r="BI49" i="14"/>
  <c r="BG49" i="14"/>
  <c r="BI48" i="14"/>
  <c r="BG48" i="14"/>
  <c r="BI47" i="14"/>
  <c r="BG47" i="14"/>
  <c r="BI46" i="14"/>
  <c r="BG46" i="14"/>
  <c r="BI45" i="14"/>
  <c r="BG45" i="14"/>
  <c r="BM36" i="14"/>
  <c r="BM37" i="14" s="1"/>
  <c r="BL36" i="14"/>
  <c r="BL38" i="14" s="1"/>
  <c r="BK36" i="14"/>
  <c r="BJ36" i="14"/>
  <c r="BJ37" i="14" s="1"/>
  <c r="BF36" i="14"/>
  <c r="BF37" i="14" s="1"/>
  <c r="BF38" i="14" s="1"/>
  <c r="BE36" i="14"/>
  <c r="BE37" i="14" s="1"/>
  <c r="BE38" i="14" s="1"/>
  <c r="BD36" i="14"/>
  <c r="BD37" i="14" s="1"/>
  <c r="BC36" i="14"/>
  <c r="BM35" i="14"/>
  <c r="BL35" i="14"/>
  <c r="BK35" i="14"/>
  <c r="BJ35" i="14"/>
  <c r="BF35" i="14"/>
  <c r="BE35" i="14"/>
  <c r="BD35" i="14"/>
  <c r="BC35" i="14"/>
  <c r="BI29" i="14"/>
  <c r="BG29" i="14"/>
  <c r="BI28" i="14"/>
  <c r="BG28" i="14"/>
  <c r="BI27" i="14"/>
  <c r="BG27" i="14"/>
  <c r="BI26" i="14"/>
  <c r="BG26" i="14"/>
  <c r="BI25" i="14"/>
  <c r="BG25" i="14"/>
  <c r="BI24" i="14"/>
  <c r="BG24" i="14"/>
  <c r="BM15" i="14"/>
  <c r="BL15" i="14"/>
  <c r="BK15" i="14"/>
  <c r="BK16" i="14" s="1"/>
  <c r="BK17" i="14" s="1"/>
  <c r="BJ15" i="14"/>
  <c r="BJ16" i="14" s="1"/>
  <c r="BF15" i="14"/>
  <c r="BE15" i="14"/>
  <c r="BD15" i="14"/>
  <c r="BC15" i="14"/>
  <c r="BM14" i="14"/>
  <c r="BL14" i="14"/>
  <c r="BL18" i="14" s="1"/>
  <c r="BK14" i="14"/>
  <c r="BJ14" i="14"/>
  <c r="BF14" i="14"/>
  <c r="BF18" i="14" s="1"/>
  <c r="BE14" i="14"/>
  <c r="BD14" i="14"/>
  <c r="BC14" i="14"/>
  <c r="BC18" i="14" s="1"/>
  <c r="BI11" i="14"/>
  <c r="BG11" i="14"/>
  <c r="BI10" i="14"/>
  <c r="BG10" i="14"/>
  <c r="BI9" i="14"/>
  <c r="BG9" i="14"/>
  <c r="BI8" i="14"/>
  <c r="BG8" i="14"/>
  <c r="BI7" i="14"/>
  <c r="BG7" i="14"/>
  <c r="BI6" i="14"/>
  <c r="BG6" i="14"/>
  <c r="BI5" i="14"/>
  <c r="BG5" i="14"/>
  <c r="BF86" i="6"/>
  <c r="BF87" i="6"/>
  <c r="AF59" i="6"/>
  <c r="AH59" i="6"/>
  <c r="AF60" i="6"/>
  <c r="AH60" i="6"/>
  <c r="AF61" i="6"/>
  <c r="AH61" i="6"/>
  <c r="AF62" i="6"/>
  <c r="AH62" i="6"/>
  <c r="AF63" i="6"/>
  <c r="AH63" i="6"/>
  <c r="AF64" i="6"/>
  <c r="AH64" i="6"/>
  <c r="S59" i="6"/>
  <c r="U59" i="6"/>
  <c r="S60" i="6"/>
  <c r="U60" i="6"/>
  <c r="S61" i="6"/>
  <c r="U61" i="6"/>
  <c r="S62" i="6"/>
  <c r="U62" i="6"/>
  <c r="S63" i="6"/>
  <c r="U63" i="6"/>
  <c r="S64" i="6"/>
  <c r="U64" i="6"/>
  <c r="S65" i="6"/>
  <c r="U65" i="6"/>
  <c r="S66" i="6"/>
  <c r="U66" i="6"/>
  <c r="S67" i="6"/>
  <c r="U67" i="6"/>
  <c r="F59" i="6"/>
  <c r="H59" i="6"/>
  <c r="F60" i="6"/>
  <c r="H60" i="6"/>
  <c r="F61" i="6"/>
  <c r="H61" i="6"/>
  <c r="F62" i="6"/>
  <c r="H62" i="6"/>
  <c r="F63" i="6"/>
  <c r="H63" i="6"/>
  <c r="F64" i="6"/>
  <c r="H64" i="6"/>
  <c r="F65" i="6"/>
  <c r="H65" i="6"/>
  <c r="AS41" i="6"/>
  <c r="AU41" i="6"/>
  <c r="AF41" i="6"/>
  <c r="AH41" i="6"/>
  <c r="AF42" i="6"/>
  <c r="AH42" i="6"/>
  <c r="AF43" i="6"/>
  <c r="AH43" i="6"/>
  <c r="AF44" i="6"/>
  <c r="AH44" i="6"/>
  <c r="AF45" i="6"/>
  <c r="AH45" i="6"/>
  <c r="S41" i="6"/>
  <c r="U41" i="6"/>
  <c r="F41" i="6"/>
  <c r="H41" i="6"/>
  <c r="F42" i="6"/>
  <c r="H42" i="6"/>
  <c r="F43" i="6"/>
  <c r="H43" i="6"/>
  <c r="BF29" i="7"/>
  <c r="BH29" i="7"/>
  <c r="BF30" i="7"/>
  <c r="BH30" i="7"/>
  <c r="BF31" i="7"/>
  <c r="BH31" i="7"/>
  <c r="BF32" i="7"/>
  <c r="BH32" i="7"/>
  <c r="BF33" i="7"/>
  <c r="BH33" i="7"/>
  <c r="BF34" i="7"/>
  <c r="BH34" i="7"/>
  <c r="BF35" i="7"/>
  <c r="BH35" i="7"/>
  <c r="BH28" i="7"/>
  <c r="BF28" i="7"/>
  <c r="BL39" i="7"/>
  <c r="BK39" i="7"/>
  <c r="BJ39" i="7"/>
  <c r="BI39" i="7"/>
  <c r="BE39" i="7"/>
  <c r="W61" i="10" s="1"/>
  <c r="BD39" i="7"/>
  <c r="W85" i="10" s="1"/>
  <c r="BC39" i="7"/>
  <c r="BB39" i="7"/>
  <c r="W69" i="10" s="1"/>
  <c r="BL38" i="7"/>
  <c r="W180" i="10" s="1"/>
  <c r="BK38" i="7"/>
  <c r="W172" i="10" s="1"/>
  <c r="BJ38" i="7"/>
  <c r="W164" i="10" s="1"/>
  <c r="BI38" i="7"/>
  <c r="W156" i="10" s="1"/>
  <c r="BE38" i="7"/>
  <c r="W60" i="10" s="1"/>
  <c r="BD38" i="7"/>
  <c r="W84" i="10" s="1"/>
  <c r="BC38" i="7"/>
  <c r="W76" i="10" s="1"/>
  <c r="BB38" i="7"/>
  <c r="W68" i="10" s="1"/>
  <c r="BF26" i="7" l="1"/>
  <c r="S123" i="15"/>
  <c r="B445" i="10"/>
  <c r="B413" i="10" s="1"/>
  <c r="CK104" i="14"/>
  <c r="G557" i="10"/>
  <c r="CL104" i="14"/>
  <c r="G565" i="10"/>
  <c r="G533" i="10" s="1"/>
  <c r="BY152" i="14"/>
  <c r="K520" i="10" s="1"/>
  <c r="K496" i="10" s="1"/>
  <c r="K516" i="10"/>
  <c r="K492" i="10" s="1"/>
  <c r="S150" i="14"/>
  <c r="M557" i="10"/>
  <c r="M533" i="10" s="1"/>
  <c r="AD150" i="14"/>
  <c r="E549" i="10"/>
  <c r="E533" i="10" s="1"/>
  <c r="AR150" i="14"/>
  <c r="B557" i="10"/>
  <c r="B533" i="10" s="1"/>
  <c r="C151" i="10"/>
  <c r="M151" i="10"/>
  <c r="L151" i="10"/>
  <c r="J151" i="10"/>
  <c r="D151" i="10"/>
  <c r="K151" i="10"/>
  <c r="E151" i="10"/>
  <c r="F151" i="10"/>
  <c r="B151" i="10"/>
  <c r="H151" i="10"/>
  <c r="G151" i="10"/>
  <c r="R149" i="10"/>
  <c r="T61" i="6"/>
  <c r="W148" i="10"/>
  <c r="BC40" i="7"/>
  <c r="W77" i="10"/>
  <c r="W53" i="10" s="1"/>
  <c r="W52" i="10"/>
  <c r="BI40" i="7"/>
  <c r="W158" i="10" s="1"/>
  <c r="W157" i="10"/>
  <c r="BJ40" i="7"/>
  <c r="W165" i="10"/>
  <c r="BK40" i="7"/>
  <c r="W173" i="10"/>
  <c r="BL40" i="7"/>
  <c r="W181" i="10"/>
  <c r="BJ129" i="14"/>
  <c r="D196" i="10"/>
  <c r="AQ153" i="15"/>
  <c r="BS125" i="15"/>
  <c r="BF152" i="15"/>
  <c r="BH77" i="15"/>
  <c r="AD152" i="15"/>
  <c r="AH132" i="15"/>
  <c r="AH136" i="15"/>
  <c r="AH138" i="15"/>
  <c r="AW126" i="15"/>
  <c r="U132" i="15"/>
  <c r="BU108" i="15"/>
  <c r="BU77" i="15"/>
  <c r="BU109" i="15"/>
  <c r="H113" i="15"/>
  <c r="H109" i="15"/>
  <c r="BU76" i="15"/>
  <c r="AH131" i="15"/>
  <c r="BH30" i="15"/>
  <c r="BU81" i="15"/>
  <c r="BU80" i="15"/>
  <c r="BU79" i="15"/>
  <c r="AV129" i="15"/>
  <c r="AV148" i="15"/>
  <c r="AV149" i="15"/>
  <c r="AV152" i="15" s="1"/>
  <c r="AU133" i="15"/>
  <c r="AU134" i="15"/>
  <c r="BW126" i="15"/>
  <c r="BU112" i="15"/>
  <c r="BU116" i="15"/>
  <c r="BU118" i="15"/>
  <c r="BU111" i="15"/>
  <c r="BR125" i="15"/>
  <c r="BT121" i="15"/>
  <c r="BU117" i="15"/>
  <c r="BH138" i="15"/>
  <c r="BH140" i="15"/>
  <c r="BH144" i="15"/>
  <c r="BH141" i="15"/>
  <c r="BM70" i="15"/>
  <c r="BH62" i="15"/>
  <c r="BG67" i="15"/>
  <c r="BH56" i="15"/>
  <c r="BH53" i="15"/>
  <c r="BH61" i="15"/>
  <c r="BH54" i="15"/>
  <c r="AH110" i="15"/>
  <c r="AI105" i="15"/>
  <c r="AJ126" i="15"/>
  <c r="AI122" i="15"/>
  <c r="AH109" i="15"/>
  <c r="AG121" i="15"/>
  <c r="AG105" i="15"/>
  <c r="BV66" i="15"/>
  <c r="BU55" i="15"/>
  <c r="BV67" i="15"/>
  <c r="BU60" i="15"/>
  <c r="BU53" i="15"/>
  <c r="BU62" i="15"/>
  <c r="BS70" i="15"/>
  <c r="BR70" i="15"/>
  <c r="BU59" i="15"/>
  <c r="BU54" i="15"/>
  <c r="BU58" i="15"/>
  <c r="AI149" i="15"/>
  <c r="AH137" i="15"/>
  <c r="AH134" i="15"/>
  <c r="AH140" i="15"/>
  <c r="AH142" i="15"/>
  <c r="AH144" i="15"/>
  <c r="H116" i="15"/>
  <c r="H115" i="15"/>
  <c r="H114" i="15"/>
  <c r="H110" i="15"/>
  <c r="C125" i="15"/>
  <c r="G122" i="15"/>
  <c r="H111" i="15"/>
  <c r="BI3" i="15"/>
  <c r="BH7" i="15"/>
  <c r="BH11" i="15"/>
  <c r="BE24" i="15"/>
  <c r="BG20" i="15"/>
  <c r="BW101" i="15"/>
  <c r="BL102" i="15"/>
  <c r="BZ101" i="15"/>
  <c r="BH31" i="15"/>
  <c r="BH35" i="15"/>
  <c r="BG43" i="15"/>
  <c r="BH32" i="15"/>
  <c r="X126" i="15"/>
  <c r="U111" i="15"/>
  <c r="U112" i="15"/>
  <c r="U116" i="15"/>
  <c r="V121" i="15"/>
  <c r="U113" i="15"/>
  <c r="U117" i="15"/>
  <c r="T122" i="15"/>
  <c r="U109" i="15"/>
  <c r="BJ101" i="15"/>
  <c r="BH81" i="15"/>
  <c r="BH85" i="15"/>
  <c r="BH78" i="15"/>
  <c r="BI97" i="15"/>
  <c r="BH86" i="15"/>
  <c r="BH79" i="15"/>
  <c r="BH87" i="15"/>
  <c r="AV121" i="15"/>
  <c r="AU111" i="15"/>
  <c r="AU115" i="15"/>
  <c r="AV105" i="15"/>
  <c r="AU108" i="15"/>
  <c r="AU109" i="15"/>
  <c r="BU35" i="15"/>
  <c r="BU34" i="15"/>
  <c r="BU32" i="15"/>
  <c r="BU36" i="15"/>
  <c r="BV43" i="15"/>
  <c r="BU33" i="15"/>
  <c r="J125" i="15"/>
  <c r="BD102" i="15"/>
  <c r="BC68" i="15"/>
  <c r="BC69" i="15" s="1"/>
  <c r="Y126" i="15"/>
  <c r="AH133" i="15"/>
  <c r="AU136" i="15"/>
  <c r="AM153" i="15"/>
  <c r="AY152" i="15"/>
  <c r="AX152" i="15"/>
  <c r="BH142" i="15"/>
  <c r="BH146" i="15"/>
  <c r="BH80" i="15"/>
  <c r="BH84" i="15"/>
  <c r="BE101" i="15"/>
  <c r="BU115" i="15"/>
  <c r="BR101" i="15"/>
  <c r="BH57" i="15"/>
  <c r="BW71" i="15"/>
  <c r="BU31" i="15"/>
  <c r="BF24" i="15"/>
  <c r="Q126" i="15"/>
  <c r="Z126" i="15"/>
  <c r="AH108" i="15"/>
  <c r="AH111" i="15"/>
  <c r="AI121" i="15"/>
  <c r="AU112" i="15"/>
  <c r="AU131" i="15"/>
  <c r="AH135" i="15"/>
  <c r="AU138" i="15"/>
  <c r="AC153" i="15"/>
  <c r="AZ153" i="15"/>
  <c r="BG129" i="15"/>
  <c r="BH135" i="15"/>
  <c r="BH139" i="15"/>
  <c r="BF101" i="15"/>
  <c r="BV121" i="15"/>
  <c r="BT122" i="15"/>
  <c r="BQ99" i="15"/>
  <c r="BQ100" i="15" s="1"/>
  <c r="BU56" i="15"/>
  <c r="BX71" i="15"/>
  <c r="BH8" i="15"/>
  <c r="BH12" i="15"/>
  <c r="P123" i="15"/>
  <c r="P126" i="15" s="1"/>
  <c r="AY126" i="15"/>
  <c r="BT97" i="15"/>
  <c r="BY71" i="15"/>
  <c r="BG3" i="15"/>
  <c r="I105" i="15"/>
  <c r="D125" i="15"/>
  <c r="H108" i="15"/>
  <c r="U110" i="15"/>
  <c r="U114" i="15"/>
  <c r="U118" i="15"/>
  <c r="S125" i="15"/>
  <c r="B448" i="10" s="1"/>
  <c r="B416" i="10" s="1"/>
  <c r="AH112" i="15"/>
  <c r="AU113" i="15"/>
  <c r="AQ126" i="15"/>
  <c r="AZ126" i="15"/>
  <c r="AU135" i="15"/>
  <c r="AH139" i="15"/>
  <c r="AE152" i="15"/>
  <c r="AR152" i="15"/>
  <c r="BH132" i="15"/>
  <c r="BH136" i="15"/>
  <c r="BJ102" i="15"/>
  <c r="BI98" i="15"/>
  <c r="BU78" i="15"/>
  <c r="BV97" i="15"/>
  <c r="BH55" i="15"/>
  <c r="BH58" i="15"/>
  <c r="BT51" i="15"/>
  <c r="BH33" i="15"/>
  <c r="BH9" i="15"/>
  <c r="BH13" i="15"/>
  <c r="T105" i="15"/>
  <c r="T121" i="15"/>
  <c r="AC126" i="15"/>
  <c r="AL126" i="15"/>
  <c r="AU110" i="15"/>
  <c r="AR125" i="15"/>
  <c r="AT122" i="15"/>
  <c r="AP123" i="15"/>
  <c r="AP126" i="15" s="1"/>
  <c r="AU137" i="15"/>
  <c r="AH141" i="15"/>
  <c r="AH143" i="15"/>
  <c r="AS152" i="15"/>
  <c r="AJ150" i="15"/>
  <c r="AJ151" i="15" s="1"/>
  <c r="BH82" i="15"/>
  <c r="BK102" i="15"/>
  <c r="BU113" i="15"/>
  <c r="BP126" i="15"/>
  <c r="BY126" i="15"/>
  <c r="BU82" i="15"/>
  <c r="BZ99" i="15"/>
  <c r="BZ100" i="15" s="1"/>
  <c r="BH59" i="15"/>
  <c r="BK71" i="15"/>
  <c r="BU61" i="15"/>
  <c r="BQ70" i="15"/>
  <c r="BT67" i="15"/>
  <c r="BP68" i="15"/>
  <c r="BP71" i="15" s="1"/>
  <c r="F125" i="15"/>
  <c r="U115" i="15"/>
  <c r="U119" i="15"/>
  <c r="AH113" i="15"/>
  <c r="AD126" i="15"/>
  <c r="AM126" i="15"/>
  <c r="AT105" i="15"/>
  <c r="AU114" i="15"/>
  <c r="AS125" i="15"/>
  <c r="AG129" i="15"/>
  <c r="AU139" i="15"/>
  <c r="AJ152" i="15"/>
  <c r="AT148" i="15"/>
  <c r="BH76" i="15"/>
  <c r="BU110" i="15"/>
  <c r="BQ126" i="15"/>
  <c r="BW125" i="15"/>
  <c r="BX102" i="15"/>
  <c r="BH63" i="15"/>
  <c r="BL71" i="15"/>
  <c r="BG28" i="15"/>
  <c r="BH6" i="15"/>
  <c r="BH10" i="15"/>
  <c r="BC25" i="15"/>
  <c r="BL25" i="15"/>
  <c r="I121" i="15"/>
  <c r="U108" i="15"/>
  <c r="AT121" i="15"/>
  <c r="AT125" i="15" s="1"/>
  <c r="AU132" i="15"/>
  <c r="AI129" i="15"/>
  <c r="BH145" i="15"/>
  <c r="BH83" i="15"/>
  <c r="BM102" i="15"/>
  <c r="BT105" i="15"/>
  <c r="BU114" i="15"/>
  <c r="BT74" i="15"/>
  <c r="BP102" i="15"/>
  <c r="BY102" i="15"/>
  <c r="BH60" i="15"/>
  <c r="BV51" i="15"/>
  <c r="BS71" i="15"/>
  <c r="BU30" i="15"/>
  <c r="BU37" i="15"/>
  <c r="BD25" i="15"/>
  <c r="BM25" i="15"/>
  <c r="BS47" i="15"/>
  <c r="BP47" i="15"/>
  <c r="BY47" i="15"/>
  <c r="BE47" i="15"/>
  <c r="BL48" i="15"/>
  <c r="BX48" i="15"/>
  <c r="BD48" i="15"/>
  <c r="BG44" i="15"/>
  <c r="BZ48" i="15"/>
  <c r="BC45" i="15"/>
  <c r="BC46" i="15" s="1"/>
  <c r="BQ48" i="15"/>
  <c r="BF47" i="15"/>
  <c r="BR47" i="15"/>
  <c r="BW48" i="15"/>
  <c r="BI44" i="15"/>
  <c r="U135" i="15"/>
  <c r="U139" i="15"/>
  <c r="V129" i="15"/>
  <c r="V149" i="15"/>
  <c r="U136" i="15"/>
  <c r="U140" i="15"/>
  <c r="U134" i="15"/>
  <c r="U138" i="15"/>
  <c r="U133" i="15"/>
  <c r="U137" i="15"/>
  <c r="Y153" i="15"/>
  <c r="Z153" i="15"/>
  <c r="S153" i="15"/>
  <c r="T148" i="15"/>
  <c r="T150" i="15"/>
  <c r="Q153" i="15"/>
  <c r="T129" i="15"/>
  <c r="P153" i="15"/>
  <c r="J152" i="15"/>
  <c r="H138" i="15"/>
  <c r="H133" i="15"/>
  <c r="H135" i="15"/>
  <c r="M150" i="15"/>
  <c r="M151" i="15" s="1"/>
  <c r="L153" i="15"/>
  <c r="I148" i="15"/>
  <c r="K153" i="15"/>
  <c r="F152" i="15"/>
  <c r="G148" i="15"/>
  <c r="D152" i="15"/>
  <c r="G149" i="15"/>
  <c r="D150" i="15"/>
  <c r="D151" i="15" s="1"/>
  <c r="G129" i="15"/>
  <c r="H137" i="15"/>
  <c r="C150" i="15"/>
  <c r="C153" i="15" s="1"/>
  <c r="H136" i="15"/>
  <c r="H132" i="15"/>
  <c r="BU9" i="15"/>
  <c r="BU13" i="15"/>
  <c r="BU8" i="15"/>
  <c r="BU12" i="15"/>
  <c r="BU6" i="15"/>
  <c r="BU10" i="15"/>
  <c r="BU11" i="15"/>
  <c r="BR24" i="15"/>
  <c r="BV20" i="15"/>
  <c r="BV21" i="15"/>
  <c r="BW24" i="15"/>
  <c r="BY25" i="15"/>
  <c r="BZ25" i="15"/>
  <c r="BS24" i="15"/>
  <c r="BU7" i="15"/>
  <c r="BT3" i="15"/>
  <c r="BQ25" i="15"/>
  <c r="BP25" i="15"/>
  <c r="BT20" i="15"/>
  <c r="CH24" i="14"/>
  <c r="CH75" i="14"/>
  <c r="BR64" i="14"/>
  <c r="H115" i="14"/>
  <c r="U115" i="14"/>
  <c r="AU113" i="14"/>
  <c r="AH30" i="14"/>
  <c r="BU5" i="14"/>
  <c r="BM18" i="14"/>
  <c r="AH92" i="14"/>
  <c r="AH114" i="14"/>
  <c r="AH118" i="14"/>
  <c r="AH135" i="14"/>
  <c r="AL153" i="14"/>
  <c r="BH135" i="14"/>
  <c r="BH139" i="14"/>
  <c r="AH29" i="14"/>
  <c r="BU50" i="14"/>
  <c r="BW40" i="14"/>
  <c r="CK65" i="14"/>
  <c r="V102" i="14"/>
  <c r="AH91" i="14"/>
  <c r="AH95" i="14"/>
  <c r="AG132" i="14"/>
  <c r="BH136" i="14"/>
  <c r="BU53" i="14"/>
  <c r="BU45" i="14"/>
  <c r="BT87" i="14"/>
  <c r="BH112" i="14"/>
  <c r="BU52" i="14"/>
  <c r="CJ39" i="14"/>
  <c r="BU141" i="14"/>
  <c r="U135" i="14"/>
  <c r="AI125" i="14"/>
  <c r="H98" i="14"/>
  <c r="U141" i="14"/>
  <c r="U138" i="14"/>
  <c r="U139" i="14"/>
  <c r="CH27" i="14"/>
  <c r="BR39" i="14"/>
  <c r="U116" i="14"/>
  <c r="U113" i="14"/>
  <c r="V110" i="14"/>
  <c r="U114" i="14"/>
  <c r="U118" i="14"/>
  <c r="W128" i="14"/>
  <c r="R128" i="14"/>
  <c r="T110" i="14"/>
  <c r="M128" i="14"/>
  <c r="H118" i="14"/>
  <c r="C128" i="14"/>
  <c r="H117" i="14"/>
  <c r="BT15" i="14"/>
  <c r="CH76" i="14"/>
  <c r="CI80" i="14"/>
  <c r="CI68" i="14"/>
  <c r="CH77" i="14"/>
  <c r="CH72" i="14"/>
  <c r="CI79" i="14"/>
  <c r="CF83" i="14"/>
  <c r="CG79" i="14"/>
  <c r="CE84" i="14"/>
  <c r="CC84" i="14"/>
  <c r="AU141" i="14"/>
  <c r="AU146" i="14"/>
  <c r="AV148" i="14"/>
  <c r="AU145" i="14"/>
  <c r="AU144" i="14"/>
  <c r="AU138" i="14"/>
  <c r="AU142" i="14"/>
  <c r="AU135" i="14"/>
  <c r="AU143" i="14"/>
  <c r="AS152" i="14"/>
  <c r="AU136" i="14"/>
  <c r="AU140" i="14"/>
  <c r="AU139" i="14"/>
  <c r="BD18" i="14"/>
  <c r="BE18" i="14"/>
  <c r="BG3" i="14"/>
  <c r="J106" i="14"/>
  <c r="H95" i="14"/>
  <c r="C106" i="14"/>
  <c r="BX83" i="14"/>
  <c r="BU75" i="14"/>
  <c r="BU73" i="14"/>
  <c r="BU71" i="14"/>
  <c r="BW83" i="14"/>
  <c r="BQ83" i="14"/>
  <c r="BU70" i="14"/>
  <c r="AU116" i="14"/>
  <c r="AY129" i="14"/>
  <c r="AU112" i="14"/>
  <c r="AU117" i="14"/>
  <c r="AT125" i="14"/>
  <c r="AU114" i="14"/>
  <c r="H138" i="14"/>
  <c r="H142" i="14"/>
  <c r="H137" i="14"/>
  <c r="H140" i="14"/>
  <c r="H141" i="14"/>
  <c r="F152" i="14"/>
  <c r="H136" i="14"/>
  <c r="CH6" i="14"/>
  <c r="CG15" i="14"/>
  <c r="CH95" i="14"/>
  <c r="CH97" i="14"/>
  <c r="CH98" i="14"/>
  <c r="CH90" i="14"/>
  <c r="CH100" i="14"/>
  <c r="CE106" i="14"/>
  <c r="I224" i="10" s="1"/>
  <c r="CH99" i="14"/>
  <c r="CH94" i="14"/>
  <c r="CH96" i="14"/>
  <c r="BH138" i="14"/>
  <c r="BH140" i="14"/>
  <c r="BH137" i="14"/>
  <c r="BG148" i="14"/>
  <c r="AT132" i="14"/>
  <c r="BM39" i="14"/>
  <c r="BL40" i="14"/>
  <c r="BK39" i="14"/>
  <c r="U92" i="14"/>
  <c r="U96" i="14"/>
  <c r="U97" i="14"/>
  <c r="U90" i="14"/>
  <c r="U94" i="14"/>
  <c r="U95" i="14"/>
  <c r="T87" i="14"/>
  <c r="U93" i="14"/>
  <c r="CH115" i="14"/>
  <c r="CH114" i="14"/>
  <c r="CH122" i="14"/>
  <c r="CH113" i="14"/>
  <c r="CH117" i="14"/>
  <c r="CH121" i="14"/>
  <c r="CF128" i="14"/>
  <c r="J528" i="10" s="1"/>
  <c r="CL129" i="14"/>
  <c r="CC129" i="14"/>
  <c r="J505" i="10" s="1"/>
  <c r="CE128" i="14"/>
  <c r="J520" i="10" s="1"/>
  <c r="BV148" i="14"/>
  <c r="BU146" i="14"/>
  <c r="BU138" i="14"/>
  <c r="BU145" i="14"/>
  <c r="BU139" i="14"/>
  <c r="BU144" i="14"/>
  <c r="BU136" i="14"/>
  <c r="BU143" i="14"/>
  <c r="BU135" i="14"/>
  <c r="BP152" i="14"/>
  <c r="J544" i="10" s="1"/>
  <c r="J536" i="10" s="1"/>
  <c r="BV149" i="14"/>
  <c r="C152" i="14"/>
  <c r="T149" i="14"/>
  <c r="AY153" i="14"/>
  <c r="BX152" i="14"/>
  <c r="BW150" i="14"/>
  <c r="BW153" i="14" s="1"/>
  <c r="W153" i="14"/>
  <c r="D152" i="14"/>
  <c r="BH74" i="14"/>
  <c r="BH70" i="14"/>
  <c r="BJ83" i="14"/>
  <c r="BK83" i="14"/>
  <c r="BF83" i="14"/>
  <c r="AU97" i="14"/>
  <c r="AU90" i="14"/>
  <c r="AU94" i="14"/>
  <c r="AU92" i="14"/>
  <c r="AU98" i="14"/>
  <c r="T102" i="14"/>
  <c r="Y107" i="14"/>
  <c r="AV103" i="14"/>
  <c r="AY107" i="14"/>
  <c r="AR106" i="14"/>
  <c r="BU90" i="14"/>
  <c r="BU92" i="14"/>
  <c r="BU94" i="14"/>
  <c r="BU96" i="14"/>
  <c r="BS107" i="14"/>
  <c r="BT103" i="14"/>
  <c r="BU91" i="14"/>
  <c r="BU95" i="14"/>
  <c r="BH115" i="14"/>
  <c r="BH114" i="14"/>
  <c r="BH116" i="14"/>
  <c r="BH120" i="14"/>
  <c r="BC129" i="14"/>
  <c r="BH117" i="14"/>
  <c r="BG125" i="14"/>
  <c r="U74" i="14"/>
  <c r="U76" i="14"/>
  <c r="U75" i="14"/>
  <c r="AH93" i="14"/>
  <c r="AH97" i="14"/>
  <c r="AH90" i="14"/>
  <c r="AH94" i="14"/>
  <c r="AF106" i="14"/>
  <c r="AH96" i="14"/>
  <c r="AC107" i="14"/>
  <c r="BH58" i="14"/>
  <c r="BH46" i="14"/>
  <c r="BH54" i="14"/>
  <c r="BH57" i="14"/>
  <c r="BC64" i="14"/>
  <c r="BD64" i="14"/>
  <c r="BE64" i="14"/>
  <c r="BH48" i="14"/>
  <c r="BH56" i="14"/>
  <c r="AI148" i="14"/>
  <c r="AH139" i="14"/>
  <c r="AH136" i="14"/>
  <c r="AH140" i="14"/>
  <c r="CD64" i="14"/>
  <c r="AH115" i="14"/>
  <c r="AH116" i="14"/>
  <c r="AH120" i="14"/>
  <c r="AH113" i="14"/>
  <c r="AH117" i="14"/>
  <c r="AE128" i="14"/>
  <c r="BU49" i="14"/>
  <c r="BU51" i="14"/>
  <c r="BU47" i="14"/>
  <c r="BU54" i="14"/>
  <c r="BU48" i="14"/>
  <c r="BU46" i="14"/>
  <c r="AP127" i="14"/>
  <c r="T104" i="14"/>
  <c r="P105" i="14"/>
  <c r="AT104" i="14"/>
  <c r="Y153" i="14"/>
  <c r="AJ126" i="14"/>
  <c r="AJ129" i="14" s="1"/>
  <c r="BU8" i="14"/>
  <c r="CH8" i="14"/>
  <c r="H139" i="14"/>
  <c r="R107" i="14"/>
  <c r="U117" i="14"/>
  <c r="V125" i="14"/>
  <c r="U142" i="14"/>
  <c r="AL107" i="14"/>
  <c r="AK129" i="14"/>
  <c r="AH137" i="14"/>
  <c r="AE152" i="14"/>
  <c r="AU95" i="14"/>
  <c r="AR107" i="14"/>
  <c r="AU118" i="14"/>
  <c r="BH113" i="14"/>
  <c r="BL129" i="14"/>
  <c r="BK153" i="14"/>
  <c r="BQ153" i="14"/>
  <c r="BZ107" i="14"/>
  <c r="CH71" i="14"/>
  <c r="CH74" i="14"/>
  <c r="U77" i="14"/>
  <c r="H76" i="14"/>
  <c r="BH9" i="14"/>
  <c r="BH49" i="14"/>
  <c r="I87" i="14"/>
  <c r="H94" i="14"/>
  <c r="V103" i="14"/>
  <c r="V106" i="14" s="1"/>
  <c r="P128" i="14"/>
  <c r="Z129" i="14"/>
  <c r="Y129" i="14"/>
  <c r="U136" i="14"/>
  <c r="Z153" i="14"/>
  <c r="AD106" i="14"/>
  <c r="AM107" i="14"/>
  <c r="AC128" i="14"/>
  <c r="AM129" i="14"/>
  <c r="AH138" i="14"/>
  <c r="AT87" i="14"/>
  <c r="AU96" i="14"/>
  <c r="AW106" i="14"/>
  <c r="AT110" i="14"/>
  <c r="AU115" i="14"/>
  <c r="AS128" i="14"/>
  <c r="AR129" i="14"/>
  <c r="AU137" i="14"/>
  <c r="AR152" i="14"/>
  <c r="B560" i="10" s="1"/>
  <c r="B536" i="10" s="1"/>
  <c r="BH118" i="14"/>
  <c r="BD153" i="14"/>
  <c r="BM153" i="14"/>
  <c r="BU137" i="14"/>
  <c r="BU140" i="14"/>
  <c r="BS152" i="14"/>
  <c r="CD129" i="14"/>
  <c r="J513" i="10" s="1"/>
  <c r="CM129" i="14"/>
  <c r="CH92" i="14"/>
  <c r="CH70" i="14"/>
  <c r="BH72" i="14"/>
  <c r="BU76" i="14"/>
  <c r="BH75" i="14"/>
  <c r="Q129" i="14"/>
  <c r="V132" i="14"/>
  <c r="Q153" i="14"/>
  <c r="AD107" i="14"/>
  <c r="AD129" i="14"/>
  <c r="AL129" i="14"/>
  <c r="AU93" i="14"/>
  <c r="AV102" i="14"/>
  <c r="AT124" i="14"/>
  <c r="AQ126" i="14"/>
  <c r="AQ127" i="14" s="1"/>
  <c r="BT132" i="14"/>
  <c r="CH118" i="14"/>
  <c r="CH89" i="14"/>
  <c r="BU93" i="14"/>
  <c r="BR107" i="14"/>
  <c r="BP104" i="14"/>
  <c r="BP105" i="14" s="1"/>
  <c r="BV68" i="14"/>
  <c r="D129" i="14"/>
  <c r="AS107" i="14"/>
  <c r="BM129" i="14"/>
  <c r="BL153" i="14"/>
  <c r="BU25" i="14"/>
  <c r="BU29" i="14"/>
  <c r="CH10" i="14"/>
  <c r="U112" i="14"/>
  <c r="P126" i="14"/>
  <c r="P127" i="14" s="1"/>
  <c r="U140" i="14"/>
  <c r="AD104" i="14"/>
  <c r="AD105" i="14" s="1"/>
  <c r="AG110" i="14"/>
  <c r="AV110" i="14"/>
  <c r="AT148" i="14"/>
  <c r="BG68" i="14"/>
  <c r="CC83" i="14"/>
  <c r="BU74" i="14"/>
  <c r="S107" i="14"/>
  <c r="AZ153" i="14"/>
  <c r="CC107" i="14"/>
  <c r="I201" i="10" s="1"/>
  <c r="H116" i="14"/>
  <c r="H97" i="14"/>
  <c r="H120" i="14"/>
  <c r="U91" i="14"/>
  <c r="T132" i="14"/>
  <c r="U137" i="14"/>
  <c r="S152" i="14"/>
  <c r="M560" i="10" s="1"/>
  <c r="M536" i="10" s="1"/>
  <c r="AG87" i="14"/>
  <c r="AG102" i="14"/>
  <c r="AF104" i="14"/>
  <c r="AF105" i="14" s="1"/>
  <c r="AH112" i="14"/>
  <c r="AH119" i="14"/>
  <c r="AE129" i="14"/>
  <c r="AC126" i="14"/>
  <c r="AZ107" i="14"/>
  <c r="AV125" i="14"/>
  <c r="AS126" i="14"/>
  <c r="AS127" i="14" s="1"/>
  <c r="AT149" i="14"/>
  <c r="BG110" i="14"/>
  <c r="BH119" i="14"/>
  <c r="BG124" i="14"/>
  <c r="BD126" i="14"/>
  <c r="BD127" i="14" s="1"/>
  <c r="BH141" i="14"/>
  <c r="BU142" i="14"/>
  <c r="CH119" i="14"/>
  <c r="CG124" i="14"/>
  <c r="CH91" i="14"/>
  <c r="CH93" i="14"/>
  <c r="BU97" i="14"/>
  <c r="CI102" i="14"/>
  <c r="BU72" i="14"/>
  <c r="BC153" i="14"/>
  <c r="BE39" i="14"/>
  <c r="BH25" i="14"/>
  <c r="BU26" i="14"/>
  <c r="P107" i="14"/>
  <c r="Z107" i="14"/>
  <c r="T124" i="14"/>
  <c r="R126" i="14"/>
  <c r="R127" i="14" s="1"/>
  <c r="V148" i="14"/>
  <c r="AI87" i="14"/>
  <c r="AI103" i="14"/>
  <c r="AI110" i="14"/>
  <c r="AG124" i="14"/>
  <c r="AF129" i="14"/>
  <c r="AM153" i="14"/>
  <c r="AT102" i="14"/>
  <c r="BE126" i="14"/>
  <c r="BE127" i="14" s="1"/>
  <c r="BG132" i="14"/>
  <c r="BI148" i="14"/>
  <c r="BG149" i="14"/>
  <c r="CI124" i="14"/>
  <c r="CK107" i="14"/>
  <c r="G561" i="10" s="1"/>
  <c r="BV103" i="14"/>
  <c r="CG68" i="14"/>
  <c r="CD84" i="14"/>
  <c r="H96" i="14"/>
  <c r="H119" i="14"/>
  <c r="H135" i="14"/>
  <c r="Q107" i="14"/>
  <c r="T125" i="14"/>
  <c r="AI102" i="14"/>
  <c r="AJ128" i="14"/>
  <c r="AG125" i="14"/>
  <c r="AI132" i="14"/>
  <c r="AD153" i="14"/>
  <c r="E553" i="10" s="1"/>
  <c r="E537" i="10" s="1"/>
  <c r="AU91" i="14"/>
  <c r="AQ107" i="14"/>
  <c r="AP129" i="14"/>
  <c r="AZ129" i="14"/>
  <c r="BI110" i="14"/>
  <c r="BI125" i="14"/>
  <c r="BF126" i="14"/>
  <c r="BF127" i="14" s="1"/>
  <c r="BH142" i="14"/>
  <c r="BI149" i="14"/>
  <c r="BZ153" i="14"/>
  <c r="CH116" i="14"/>
  <c r="CH120" i="14"/>
  <c r="CI125" i="14"/>
  <c r="BV87" i="14"/>
  <c r="BY107" i="14"/>
  <c r="CL107" i="14"/>
  <c r="G569" i="10" s="1"/>
  <c r="G537" i="10" s="1"/>
  <c r="CI103" i="14"/>
  <c r="BE84" i="14"/>
  <c r="BR83" i="14"/>
  <c r="CE83" i="14"/>
  <c r="BT68" i="14"/>
  <c r="CG14" i="14"/>
  <c r="CG18" i="14" s="1"/>
  <c r="BD84" i="14"/>
  <c r="BD83" i="14"/>
  <c r="BU77" i="14"/>
  <c r="BL83" i="14"/>
  <c r="BI80" i="14"/>
  <c r="BC83" i="14"/>
  <c r="BP84" i="14"/>
  <c r="BW25" i="15"/>
  <c r="BV22" i="15"/>
  <c r="BW23" i="15"/>
  <c r="BV3" i="15"/>
  <c r="BR25" i="15"/>
  <c r="BS22" i="15"/>
  <c r="BS23" i="15" s="1"/>
  <c r="BX24" i="15"/>
  <c r="BP24" i="15"/>
  <c r="BY24" i="15"/>
  <c r="BU5" i="15"/>
  <c r="BQ24" i="15"/>
  <c r="BZ24" i="15"/>
  <c r="BT21" i="15"/>
  <c r="BI22" i="15"/>
  <c r="BJ23" i="15"/>
  <c r="BJ25" i="15"/>
  <c r="BH5" i="15"/>
  <c r="BG21" i="15"/>
  <c r="BE22" i="15"/>
  <c r="BE23" i="15" s="1"/>
  <c r="BC23" i="15"/>
  <c r="BJ24" i="15"/>
  <c r="BI21" i="15"/>
  <c r="BK24" i="15"/>
  <c r="BC24" i="15"/>
  <c r="BL24" i="15"/>
  <c r="BD24" i="15"/>
  <c r="BM24" i="15"/>
  <c r="BT43" i="15"/>
  <c r="BP45" i="15"/>
  <c r="BY45" i="15"/>
  <c r="BY46" i="15" s="1"/>
  <c r="BW46" i="15"/>
  <c r="BR48" i="15"/>
  <c r="BS48" i="15"/>
  <c r="BT28" i="15"/>
  <c r="BT44" i="15"/>
  <c r="BW47" i="15"/>
  <c r="BV44" i="15"/>
  <c r="BX47" i="15"/>
  <c r="BQ47" i="15"/>
  <c r="BZ47" i="15"/>
  <c r="BJ48" i="15"/>
  <c r="BK48" i="15"/>
  <c r="C441" i="10" s="1"/>
  <c r="C417" i="10" s="1"/>
  <c r="BI45" i="15"/>
  <c r="BJ46" i="15"/>
  <c r="BF48" i="15"/>
  <c r="BH34" i="15"/>
  <c r="BI43" i="15"/>
  <c r="BE45" i="15"/>
  <c r="BE46" i="15" s="1"/>
  <c r="BJ47" i="15"/>
  <c r="BC47" i="15"/>
  <c r="BL47" i="15"/>
  <c r="BK47" i="15"/>
  <c r="C440" i="10" s="1"/>
  <c r="C416" i="10" s="1"/>
  <c r="BD47" i="15"/>
  <c r="BM47" i="15"/>
  <c r="BI28" i="15"/>
  <c r="BV68" i="15"/>
  <c r="BU57" i="15"/>
  <c r="BT66" i="15"/>
  <c r="BR71" i="15"/>
  <c r="BQ68" i="15"/>
  <c r="BQ69" i="15" s="1"/>
  <c r="BW70" i="15"/>
  <c r="BX70" i="15"/>
  <c r="BP70" i="15"/>
  <c r="BY70" i="15"/>
  <c r="BJ71" i="15"/>
  <c r="BI68" i="15"/>
  <c r="BJ69" i="15"/>
  <c r="BF70" i="15"/>
  <c r="BG66" i="15"/>
  <c r="BE71" i="15"/>
  <c r="BG51" i="15"/>
  <c r="BI66" i="15"/>
  <c r="BD68" i="15"/>
  <c r="BD69" i="15" s="1"/>
  <c r="BJ70" i="15"/>
  <c r="BI67" i="15"/>
  <c r="BK70" i="15"/>
  <c r="BC70" i="15"/>
  <c r="BL70" i="15"/>
  <c r="BV99" i="15"/>
  <c r="BW100" i="15"/>
  <c r="BR102" i="15"/>
  <c r="BS102" i="15"/>
  <c r="BT98" i="15"/>
  <c r="BP100" i="15"/>
  <c r="BV98" i="15"/>
  <c r="BX101" i="15"/>
  <c r="BP101" i="15"/>
  <c r="BY101" i="15"/>
  <c r="BW102" i="15"/>
  <c r="BV74" i="15"/>
  <c r="BV123" i="15"/>
  <c r="BW124" i="15"/>
  <c r="BR126" i="15"/>
  <c r="BU107" i="15"/>
  <c r="BV122" i="15"/>
  <c r="BS123" i="15"/>
  <c r="BS124" i="15" s="1"/>
  <c r="BX125" i="15"/>
  <c r="BP125" i="15"/>
  <c r="BY125" i="15"/>
  <c r="BQ125" i="15"/>
  <c r="BZ125" i="15"/>
  <c r="BC102" i="15"/>
  <c r="BI99" i="15"/>
  <c r="BC100" i="15"/>
  <c r="BG99" i="15"/>
  <c r="BF102" i="15"/>
  <c r="BG98" i="15"/>
  <c r="BG74" i="15"/>
  <c r="BG97" i="15"/>
  <c r="BJ100" i="15"/>
  <c r="BE102" i="15"/>
  <c r="BK101" i="15"/>
  <c r="BC101" i="15"/>
  <c r="BL101" i="15"/>
  <c r="BD101" i="15"/>
  <c r="BM101" i="15"/>
  <c r="BH134" i="15"/>
  <c r="BD153" i="15"/>
  <c r="BM153" i="15"/>
  <c r="BG148" i="15"/>
  <c r="BE150" i="15"/>
  <c r="BE151" i="15" s="1"/>
  <c r="BH143" i="15"/>
  <c r="BI148" i="15"/>
  <c r="BG149" i="15"/>
  <c r="BH133" i="15"/>
  <c r="BH137" i="15"/>
  <c r="BC153" i="15"/>
  <c r="BL153" i="15"/>
  <c r="BI150" i="15"/>
  <c r="BJ151" i="15"/>
  <c r="BI129" i="15"/>
  <c r="BI149" i="15"/>
  <c r="BF150" i="15"/>
  <c r="BF151" i="15" s="1"/>
  <c r="BK152" i="15"/>
  <c r="BJ152" i="15"/>
  <c r="BC152" i="15"/>
  <c r="BL152" i="15"/>
  <c r="BD152" i="15"/>
  <c r="BM152" i="15"/>
  <c r="BH131" i="15"/>
  <c r="AC151" i="15"/>
  <c r="AL153" i="15"/>
  <c r="AT129" i="15"/>
  <c r="AG149" i="15"/>
  <c r="AW150" i="15"/>
  <c r="AW153" i="15" s="1"/>
  <c r="AC152" i="15"/>
  <c r="AL152" i="15"/>
  <c r="AW152" i="15"/>
  <c r="AR153" i="15"/>
  <c r="AS153" i="15"/>
  <c r="AT149" i="15"/>
  <c r="AE150" i="15"/>
  <c r="AE151" i="15" s="1"/>
  <c r="AP150" i="15"/>
  <c r="AY150" i="15"/>
  <c r="AY151" i="15" s="1"/>
  <c r="AF152" i="15"/>
  <c r="AQ152" i="15"/>
  <c r="AZ152" i="15"/>
  <c r="AK153" i="15"/>
  <c r="AG148" i="15"/>
  <c r="AM152" i="15"/>
  <c r="AI148" i="15"/>
  <c r="AD153" i="15"/>
  <c r="AX153" i="15"/>
  <c r="W153" i="15"/>
  <c r="V150" i="15"/>
  <c r="W151" i="15"/>
  <c r="R153" i="15"/>
  <c r="V148" i="15"/>
  <c r="U131" i="15"/>
  <c r="T149" i="15"/>
  <c r="T153" i="15" s="1"/>
  <c r="P151" i="15"/>
  <c r="W152" i="15"/>
  <c r="P152" i="15"/>
  <c r="Y152" i="15"/>
  <c r="Q152" i="15"/>
  <c r="Z152" i="15"/>
  <c r="X153" i="15"/>
  <c r="H134" i="15"/>
  <c r="I129" i="15"/>
  <c r="J151" i="15"/>
  <c r="E153" i="15"/>
  <c r="H131" i="15"/>
  <c r="I149" i="15"/>
  <c r="K152" i="15"/>
  <c r="C152" i="15"/>
  <c r="L152" i="15"/>
  <c r="J153" i="15"/>
  <c r="AW124" i="15"/>
  <c r="AV123" i="15"/>
  <c r="AX126" i="15"/>
  <c r="AS126" i="15"/>
  <c r="AU107" i="15"/>
  <c r="AR123" i="15"/>
  <c r="AR124" i="15" s="1"/>
  <c r="AW125" i="15"/>
  <c r="AV122" i="15"/>
  <c r="AV125" i="15" s="1"/>
  <c r="AX125" i="15"/>
  <c r="AP125" i="15"/>
  <c r="AY125" i="15"/>
  <c r="AQ125" i="15"/>
  <c r="AZ125" i="15"/>
  <c r="AI123" i="15"/>
  <c r="AJ124" i="15"/>
  <c r="AF126" i="15"/>
  <c r="AH107" i="15"/>
  <c r="AG122" i="15"/>
  <c r="AE123" i="15"/>
  <c r="AE124" i="15" s="1"/>
  <c r="AC124" i="15"/>
  <c r="AJ125" i="15"/>
  <c r="AK125" i="15"/>
  <c r="AC125" i="15"/>
  <c r="AL125" i="15"/>
  <c r="AD125" i="15"/>
  <c r="AM125" i="15"/>
  <c r="V123" i="15"/>
  <c r="W124" i="15"/>
  <c r="W126" i="15"/>
  <c r="V105" i="15"/>
  <c r="R126" i="15"/>
  <c r="S126" i="15"/>
  <c r="B449" i="10" s="1"/>
  <c r="B417" i="10" s="1"/>
  <c r="U107" i="15"/>
  <c r="W125" i="15"/>
  <c r="V122" i="15"/>
  <c r="X125" i="15"/>
  <c r="P125" i="15"/>
  <c r="Y125" i="15"/>
  <c r="Q125" i="15"/>
  <c r="Z125" i="15"/>
  <c r="H112" i="15"/>
  <c r="H107" i="15"/>
  <c r="K124" i="15"/>
  <c r="I123" i="15"/>
  <c r="C124" i="15"/>
  <c r="G121" i="15"/>
  <c r="J126" i="15"/>
  <c r="G105" i="15"/>
  <c r="C126" i="15"/>
  <c r="L126" i="15"/>
  <c r="F123" i="15"/>
  <c r="F124" i="15" s="1"/>
  <c r="D126" i="15"/>
  <c r="M126" i="15"/>
  <c r="K126" i="15"/>
  <c r="E126" i="15"/>
  <c r="I122" i="15"/>
  <c r="BP82" i="14"/>
  <c r="BT81" i="14"/>
  <c r="CC82" i="14"/>
  <c r="CG81" i="14"/>
  <c r="BQ82" i="14"/>
  <c r="BQ84" i="14"/>
  <c r="BF82" i="14"/>
  <c r="BF84" i="14"/>
  <c r="CF82" i="14"/>
  <c r="CF84" i="14"/>
  <c r="BM84" i="14"/>
  <c r="BJ82" i="14"/>
  <c r="BI81" i="14"/>
  <c r="BJ84" i="14"/>
  <c r="BV81" i="14"/>
  <c r="BW82" i="14"/>
  <c r="BG81" i="14"/>
  <c r="BC82" i="14"/>
  <c r="CL84" i="14"/>
  <c r="BH71" i="14"/>
  <c r="CH73" i="14"/>
  <c r="BE83" i="14"/>
  <c r="BP83" i="14"/>
  <c r="BY83" i="14"/>
  <c r="CJ83" i="14"/>
  <c r="C544" i="10" s="1"/>
  <c r="C536" i="10" s="1"/>
  <c r="BR84" i="14"/>
  <c r="BG80" i="14"/>
  <c r="CK83" i="14"/>
  <c r="BS84" i="14"/>
  <c r="BG79" i="14"/>
  <c r="BT80" i="14"/>
  <c r="CD83" i="14"/>
  <c r="CM83" i="14"/>
  <c r="BK84" i="14"/>
  <c r="BI79" i="14"/>
  <c r="BV80" i="14"/>
  <c r="CJ81" i="14"/>
  <c r="BC84" i="14"/>
  <c r="BL84" i="14"/>
  <c r="BW84" i="14"/>
  <c r="BT79" i="14"/>
  <c r="CG80" i="14"/>
  <c r="BV79" i="14"/>
  <c r="BV104" i="14"/>
  <c r="BW105" i="14"/>
  <c r="CI104" i="14"/>
  <c r="CD107" i="14"/>
  <c r="I217" i="10" s="1"/>
  <c r="BQ106" i="14"/>
  <c r="BP106" i="14"/>
  <c r="BY106" i="14"/>
  <c r="CJ106" i="14"/>
  <c r="CE107" i="14"/>
  <c r="I225" i="10" s="1"/>
  <c r="CG103" i="14"/>
  <c r="BR106" i="14"/>
  <c r="CC106" i="14"/>
  <c r="I200" i="10" s="1"/>
  <c r="CL106" i="14"/>
  <c r="G568" i="10" s="1"/>
  <c r="G536" i="10" s="1"/>
  <c r="BZ106" i="14"/>
  <c r="BW107" i="14"/>
  <c r="BU89" i="14"/>
  <c r="BS106" i="14"/>
  <c r="CD106" i="14"/>
  <c r="I216" i="10" s="1"/>
  <c r="CM106" i="14"/>
  <c r="BX107" i="14"/>
  <c r="BT102" i="14"/>
  <c r="CJ105" i="14"/>
  <c r="CJ107" i="14"/>
  <c r="CK106" i="14"/>
  <c r="G560" i="10" s="1"/>
  <c r="BV102" i="14"/>
  <c r="CF104" i="14"/>
  <c r="CF105" i="14" s="1"/>
  <c r="CG102" i="14"/>
  <c r="CK129" i="14"/>
  <c r="CI126" i="14"/>
  <c r="CJ127" i="14"/>
  <c r="CJ129" i="14"/>
  <c r="CF129" i="14"/>
  <c r="J529" i="10" s="1"/>
  <c r="CH112" i="14"/>
  <c r="CG125" i="14"/>
  <c r="CE126" i="14"/>
  <c r="CE127" i="14" s="1"/>
  <c r="CC127" i="14"/>
  <c r="CJ128" i="14"/>
  <c r="CK128" i="14"/>
  <c r="CC128" i="14"/>
  <c r="J504" i="10" s="1"/>
  <c r="CL128" i="14"/>
  <c r="CD128" i="14"/>
  <c r="J512" i="10" s="1"/>
  <c r="CM128" i="14"/>
  <c r="BV132" i="14"/>
  <c r="BT148" i="14"/>
  <c r="BY150" i="14"/>
  <c r="BW151" i="14"/>
  <c r="BS153" i="14"/>
  <c r="BU134" i="14"/>
  <c r="BT149" i="14"/>
  <c r="BW152" i="14"/>
  <c r="BQ152" i="14"/>
  <c r="BZ152" i="14"/>
  <c r="BX153" i="14"/>
  <c r="BK129" i="14"/>
  <c r="BJ127" i="14"/>
  <c r="BI126" i="14"/>
  <c r="BI150" i="14"/>
  <c r="BJ151" i="14"/>
  <c r="BJ128" i="14"/>
  <c r="BI124" i="14"/>
  <c r="BE153" i="14"/>
  <c r="BK128" i="14"/>
  <c r="BC128" i="14"/>
  <c r="BL128" i="14"/>
  <c r="BF150" i="14"/>
  <c r="BF151" i="14" s="1"/>
  <c r="BK152" i="14"/>
  <c r="BD128" i="14"/>
  <c r="BM128" i="14"/>
  <c r="BC152" i="14"/>
  <c r="BL152" i="14"/>
  <c r="BJ153" i="14"/>
  <c r="BD152" i="14"/>
  <c r="BM152" i="14"/>
  <c r="BH134" i="14"/>
  <c r="AX153" i="14"/>
  <c r="AP153" i="14"/>
  <c r="AW153" i="14"/>
  <c r="AP151" i="14"/>
  <c r="AW127" i="14"/>
  <c r="AV126" i="14"/>
  <c r="AV150" i="14"/>
  <c r="AW151" i="14"/>
  <c r="AW129" i="14"/>
  <c r="AW128" i="14"/>
  <c r="AY106" i="14"/>
  <c r="AU89" i="14"/>
  <c r="AT103" i="14"/>
  <c r="AV124" i="14"/>
  <c r="AV132" i="14"/>
  <c r="AR153" i="14"/>
  <c r="B561" i="10" s="1"/>
  <c r="B537" i="10" s="1"/>
  <c r="AS105" i="14"/>
  <c r="AQ106" i="14"/>
  <c r="AZ106" i="14"/>
  <c r="AX107" i="14"/>
  <c r="AP128" i="14"/>
  <c r="AY128" i="14"/>
  <c r="AV149" i="14"/>
  <c r="AV153" i="14" s="1"/>
  <c r="AS150" i="14"/>
  <c r="AS151" i="14" s="1"/>
  <c r="AX152" i="14"/>
  <c r="AP106" i="14"/>
  <c r="AU134" i="14"/>
  <c r="AW152" i="14"/>
  <c r="AW104" i="14"/>
  <c r="AW107" i="14" s="1"/>
  <c r="AP107" i="14"/>
  <c r="AQ128" i="14"/>
  <c r="AZ128" i="14"/>
  <c r="AX129" i="14"/>
  <c r="AP152" i="14"/>
  <c r="AY152" i="14"/>
  <c r="AQ152" i="14"/>
  <c r="AZ152" i="14"/>
  <c r="AX106" i="14"/>
  <c r="AI150" i="14"/>
  <c r="AJ151" i="14"/>
  <c r="AJ153" i="14"/>
  <c r="AC153" i="14"/>
  <c r="AG150" i="14"/>
  <c r="AC151" i="14"/>
  <c r="AJ105" i="14"/>
  <c r="AI104" i="14"/>
  <c r="AH89" i="14"/>
  <c r="AG103" i="14"/>
  <c r="AE104" i="14"/>
  <c r="AE105" i="14" s="1"/>
  <c r="AC105" i="14"/>
  <c r="AI124" i="14"/>
  <c r="AG148" i="14"/>
  <c r="AE153" i="14"/>
  <c r="AC106" i="14"/>
  <c r="AL106" i="14"/>
  <c r="AJ107" i="14"/>
  <c r="AK128" i="14"/>
  <c r="AH134" i="14"/>
  <c r="AG149" i="14"/>
  <c r="AJ152" i="14"/>
  <c r="AK107" i="14"/>
  <c r="AI149" i="14"/>
  <c r="AK106" i="14"/>
  <c r="AD128" i="14"/>
  <c r="AM128" i="14"/>
  <c r="AC152" i="14"/>
  <c r="AL152" i="14"/>
  <c r="AD152" i="14"/>
  <c r="E552" i="10" s="1"/>
  <c r="E536" i="10" s="1"/>
  <c r="AM152" i="14"/>
  <c r="AK153" i="14"/>
  <c r="V126" i="14"/>
  <c r="V150" i="14"/>
  <c r="W151" i="14"/>
  <c r="X129" i="14"/>
  <c r="W107" i="14"/>
  <c r="W105" i="14"/>
  <c r="V104" i="14"/>
  <c r="U89" i="14"/>
  <c r="T103" i="14"/>
  <c r="T105" i="14" s="1"/>
  <c r="W106" i="14"/>
  <c r="V124" i="14"/>
  <c r="S129" i="14"/>
  <c r="T148" i="14"/>
  <c r="P150" i="14"/>
  <c r="R153" i="14"/>
  <c r="X106" i="14"/>
  <c r="S153" i="14"/>
  <c r="M561" i="10" s="1"/>
  <c r="M537" i="10" s="1"/>
  <c r="P106" i="14"/>
  <c r="Y106" i="14"/>
  <c r="X128" i="14"/>
  <c r="U134" i="14"/>
  <c r="W152" i="14"/>
  <c r="X107" i="14"/>
  <c r="W129" i="14"/>
  <c r="V149" i="14"/>
  <c r="Q128" i="14"/>
  <c r="Z128" i="14"/>
  <c r="P152" i="14"/>
  <c r="Y152" i="14"/>
  <c r="S106" i="14"/>
  <c r="Q152" i="14"/>
  <c r="Z152" i="14"/>
  <c r="X153" i="14"/>
  <c r="J152" i="14"/>
  <c r="I125" i="14"/>
  <c r="E106" i="14"/>
  <c r="F107" i="14"/>
  <c r="H114" i="14"/>
  <c r="H113" i="14"/>
  <c r="BZ64" i="14"/>
  <c r="BI61" i="14"/>
  <c r="H93" i="14"/>
  <c r="BH50" i="14"/>
  <c r="BT3" i="14"/>
  <c r="CH28" i="14"/>
  <c r="E129" i="14"/>
  <c r="BT43" i="14"/>
  <c r="BT61" i="14"/>
  <c r="CE39" i="14"/>
  <c r="CH50" i="14"/>
  <c r="M107" i="14"/>
  <c r="J126" i="14"/>
  <c r="J127" i="14" s="1"/>
  <c r="D128" i="14"/>
  <c r="H89" i="14"/>
  <c r="BH26" i="14"/>
  <c r="CH25" i="14"/>
  <c r="CH29" i="14"/>
  <c r="CH47" i="14"/>
  <c r="CH51" i="14"/>
  <c r="K128" i="14"/>
  <c r="K152" i="14"/>
  <c r="BD39" i="14"/>
  <c r="BP16" i="14"/>
  <c r="BP19" i="14" s="1"/>
  <c r="BH8" i="14"/>
  <c r="CH26" i="14"/>
  <c r="L128" i="14"/>
  <c r="L152" i="14"/>
  <c r="I149" i="14"/>
  <c r="BH53" i="14"/>
  <c r="BV60" i="14"/>
  <c r="CH48" i="14"/>
  <c r="CH52" i="14"/>
  <c r="F106" i="14"/>
  <c r="M153" i="14"/>
  <c r="BY40" i="14"/>
  <c r="I521" i="10" s="1"/>
  <c r="I497" i="10" s="1"/>
  <c r="BV35" i="14"/>
  <c r="CL40" i="14"/>
  <c r="L585" i="10" s="1"/>
  <c r="CI15" i="14"/>
  <c r="K106" i="14"/>
  <c r="H92" i="14"/>
  <c r="H91" i="14"/>
  <c r="H90" i="14"/>
  <c r="D107" i="14"/>
  <c r="BF65" i="14"/>
  <c r="BG61" i="14"/>
  <c r="BH51" i="14"/>
  <c r="BH47" i="14"/>
  <c r="BH55" i="14"/>
  <c r="BJ64" i="14"/>
  <c r="L200" i="10" s="1"/>
  <c r="BH45" i="14"/>
  <c r="BH52" i="14"/>
  <c r="BT60" i="14"/>
  <c r="BP64" i="14"/>
  <c r="BV61" i="14"/>
  <c r="BX65" i="14"/>
  <c r="BW62" i="14"/>
  <c r="CF65" i="14"/>
  <c r="CH45" i="14"/>
  <c r="CH46" i="14"/>
  <c r="CG61" i="14"/>
  <c r="CI61" i="14"/>
  <c r="CH49" i="14"/>
  <c r="CH53" i="14"/>
  <c r="CI43" i="14"/>
  <c r="CI36" i="14"/>
  <c r="CM37" i="14"/>
  <c r="CM38" i="14" s="1"/>
  <c r="CL39" i="14"/>
  <c r="CI22" i="14"/>
  <c r="CK40" i="14"/>
  <c r="CG22" i="14"/>
  <c r="CG35" i="14"/>
  <c r="CF40" i="14"/>
  <c r="CG36" i="14"/>
  <c r="CC37" i="14"/>
  <c r="CC40" i="14" s="1"/>
  <c r="BU27" i="14"/>
  <c r="BX40" i="14"/>
  <c r="BU28" i="14"/>
  <c r="BT22" i="14"/>
  <c r="BQ40" i="14"/>
  <c r="BT36" i="14"/>
  <c r="BP37" i="14"/>
  <c r="BT37" i="14" s="1"/>
  <c r="BS39" i="14"/>
  <c r="BJ39" i="14"/>
  <c r="BH27" i="14"/>
  <c r="BJ40" i="14"/>
  <c r="BH24" i="14"/>
  <c r="BH28" i="14"/>
  <c r="BG36" i="14"/>
  <c r="BG22" i="14"/>
  <c r="BF39" i="14"/>
  <c r="CH7" i="14"/>
  <c r="CI14" i="14"/>
  <c r="CI18" i="14" s="1"/>
  <c r="CJ16" i="14"/>
  <c r="CJ19" i="14" s="1"/>
  <c r="CL19" i="14"/>
  <c r="CH5" i="14"/>
  <c r="CH9" i="14"/>
  <c r="CL18" i="14"/>
  <c r="CI3" i="14"/>
  <c r="CM19" i="14"/>
  <c r="CC18" i="14"/>
  <c r="CD19" i="14"/>
  <c r="CE19" i="14"/>
  <c r="CF19" i="14"/>
  <c r="CC16" i="14"/>
  <c r="CC19" i="14" s="1"/>
  <c r="BV3" i="14"/>
  <c r="BZ19" i="14"/>
  <c r="BU10" i="14"/>
  <c r="BU7" i="14"/>
  <c r="BV14" i="14"/>
  <c r="BV15" i="14"/>
  <c r="BU9" i="14"/>
  <c r="BT14" i="14"/>
  <c r="BT18" i="14" s="1"/>
  <c r="BS16" i="14"/>
  <c r="BS17" i="14" s="1"/>
  <c r="BQ19" i="14"/>
  <c r="BR19" i="14"/>
  <c r="BJ17" i="14"/>
  <c r="BJ19" i="14"/>
  <c r="BK19" i="14"/>
  <c r="BH6" i="14"/>
  <c r="BH10" i="14"/>
  <c r="BL16" i="14"/>
  <c r="BL17" i="14" s="1"/>
  <c r="BH11" i="14"/>
  <c r="BI14" i="14"/>
  <c r="BM16" i="14"/>
  <c r="BM17" i="14" s="1"/>
  <c r="BC16" i="14"/>
  <c r="BC19" i="14" s="1"/>
  <c r="BH7" i="14"/>
  <c r="BD16" i="14"/>
  <c r="BD17" i="14" s="1"/>
  <c r="BG14" i="14"/>
  <c r="F151" i="14"/>
  <c r="F153" i="14"/>
  <c r="D153" i="14"/>
  <c r="E153" i="14"/>
  <c r="C151" i="14"/>
  <c r="G150" i="14"/>
  <c r="G149" i="14"/>
  <c r="J150" i="14"/>
  <c r="E152" i="14"/>
  <c r="G148" i="14"/>
  <c r="K153" i="14"/>
  <c r="I148" i="14"/>
  <c r="C153" i="14"/>
  <c r="L153" i="14"/>
  <c r="G126" i="14"/>
  <c r="C127" i="14"/>
  <c r="F129" i="14"/>
  <c r="F127" i="14"/>
  <c r="K127" i="14"/>
  <c r="M129" i="14"/>
  <c r="E128" i="14"/>
  <c r="G125" i="14"/>
  <c r="G124" i="14"/>
  <c r="K129" i="14"/>
  <c r="F128" i="14"/>
  <c r="I124" i="14"/>
  <c r="C129" i="14"/>
  <c r="L129" i="14"/>
  <c r="L107" i="14"/>
  <c r="C107" i="14"/>
  <c r="G104" i="14"/>
  <c r="C105" i="14"/>
  <c r="E105" i="14"/>
  <c r="E107" i="14"/>
  <c r="J105" i="14"/>
  <c r="I104" i="14"/>
  <c r="G87" i="14"/>
  <c r="G103" i="14"/>
  <c r="M106" i="14"/>
  <c r="I103" i="14"/>
  <c r="J107" i="14"/>
  <c r="G102" i="14"/>
  <c r="F105" i="14"/>
  <c r="K107" i="14"/>
  <c r="D106" i="14"/>
  <c r="I102" i="14"/>
  <c r="CJ40" i="14"/>
  <c r="CJ38" i="14"/>
  <c r="CC63" i="14"/>
  <c r="CJ18" i="14"/>
  <c r="CG43" i="14"/>
  <c r="CJ62" i="14"/>
  <c r="CC65" i="14"/>
  <c r="CI35" i="14"/>
  <c r="CG60" i="14"/>
  <c r="CK18" i="14"/>
  <c r="CD18" i="14"/>
  <c r="CM18" i="14"/>
  <c r="CE37" i="14"/>
  <c r="CE38" i="14" s="1"/>
  <c r="CK39" i="14"/>
  <c r="CI60" i="14"/>
  <c r="CD62" i="14"/>
  <c r="CD63" i="14" s="1"/>
  <c r="CK63" i="14"/>
  <c r="CG3" i="14"/>
  <c r="CE18" i="14"/>
  <c r="CJ64" i="14"/>
  <c r="CF18" i="14"/>
  <c r="CD39" i="14"/>
  <c r="CM39" i="14"/>
  <c r="CL64" i="14"/>
  <c r="BR38" i="14"/>
  <c r="BR40" i="14"/>
  <c r="BW38" i="14"/>
  <c r="BV37" i="14"/>
  <c r="BX19" i="14"/>
  <c r="BW17" i="14"/>
  <c r="BV16" i="14"/>
  <c r="BS65" i="14"/>
  <c r="BX18" i="14"/>
  <c r="BU24" i="14"/>
  <c r="BT35" i="14"/>
  <c r="BV43" i="14"/>
  <c r="BS64" i="14"/>
  <c r="BQ65" i="14"/>
  <c r="BU6" i="14"/>
  <c r="BP18" i="14"/>
  <c r="BY18" i="14"/>
  <c r="BW19" i="14"/>
  <c r="BP38" i="14"/>
  <c r="BW39" i="14"/>
  <c r="BP62" i="14"/>
  <c r="BP65" i="14" s="1"/>
  <c r="BQ18" i="14"/>
  <c r="BZ18" i="14"/>
  <c r="BX39" i="14"/>
  <c r="BR18" i="14"/>
  <c r="BV36" i="14"/>
  <c r="BP39" i="14"/>
  <c r="BY39" i="14"/>
  <c r="BW64" i="14"/>
  <c r="B504" i="10" s="1"/>
  <c r="B496" i="10" s="1"/>
  <c r="BQ39" i="14"/>
  <c r="BZ39" i="14"/>
  <c r="BX64" i="14"/>
  <c r="BY64" i="14"/>
  <c r="BW18" i="14"/>
  <c r="BV22" i="14"/>
  <c r="BL63" i="14"/>
  <c r="BL65" i="14"/>
  <c r="L225" i="10" s="1"/>
  <c r="BM38" i="14"/>
  <c r="BM40" i="14"/>
  <c r="BG62" i="14"/>
  <c r="BC63" i="14"/>
  <c r="BD38" i="14"/>
  <c r="BD40" i="14"/>
  <c r="BG15" i="14"/>
  <c r="BE16" i="14"/>
  <c r="BE17" i="14" s="1"/>
  <c r="BJ18" i="14"/>
  <c r="BH29" i="14"/>
  <c r="BK37" i="14"/>
  <c r="BK38" i="14" s="1"/>
  <c r="BJ38" i="14"/>
  <c r="BE40" i="14"/>
  <c r="BJ62" i="14"/>
  <c r="BC65" i="14"/>
  <c r="BH5" i="14"/>
  <c r="BI15" i="14"/>
  <c r="BF16" i="14"/>
  <c r="BF17" i="14" s="1"/>
  <c r="BK18" i="14"/>
  <c r="BG35" i="14"/>
  <c r="BC37" i="14"/>
  <c r="BK62" i="14"/>
  <c r="BK63" i="14" s="1"/>
  <c r="BF64" i="14"/>
  <c r="BD65" i="14"/>
  <c r="BI35" i="14"/>
  <c r="BG60" i="14"/>
  <c r="BI60" i="14"/>
  <c r="BI36" i="14"/>
  <c r="BC39" i="14"/>
  <c r="BL39" i="14"/>
  <c r="BK64" i="14"/>
  <c r="L216" i="10" s="1"/>
  <c r="BG86" i="6"/>
  <c r="BG87" i="6"/>
  <c r="G60" i="6"/>
  <c r="AG59" i="6"/>
  <c r="AG61" i="6"/>
  <c r="AG64" i="6"/>
  <c r="AG60" i="6"/>
  <c r="AG63" i="6"/>
  <c r="AG62" i="6"/>
  <c r="T64" i="6"/>
  <c r="T65" i="6"/>
  <c r="T60" i="6"/>
  <c r="T67" i="6"/>
  <c r="T63" i="6"/>
  <c r="T59" i="6"/>
  <c r="T62" i="6"/>
  <c r="T66" i="6"/>
  <c r="G63" i="6"/>
  <c r="G62" i="6"/>
  <c r="G65" i="6"/>
  <c r="G61" i="6"/>
  <c r="G59" i="6"/>
  <c r="G64" i="6"/>
  <c r="AT41" i="6"/>
  <c r="AG41" i="6"/>
  <c r="AG42" i="6"/>
  <c r="AG44" i="6"/>
  <c r="AG45" i="6"/>
  <c r="AG43" i="6"/>
  <c r="T41" i="6"/>
  <c r="G43" i="6"/>
  <c r="G42" i="6"/>
  <c r="G41" i="6"/>
  <c r="BG29" i="7"/>
  <c r="BL43" i="7"/>
  <c r="W185" i="10" s="1"/>
  <c r="BG30" i="7"/>
  <c r="BG35" i="7"/>
  <c r="BF38" i="7"/>
  <c r="BE42" i="7"/>
  <c r="W64" i="10" s="1"/>
  <c r="BG33" i="7"/>
  <c r="BG31" i="7"/>
  <c r="BG32" i="7"/>
  <c r="BG34" i="7"/>
  <c r="BK43" i="7"/>
  <c r="W177" i="10" s="1"/>
  <c r="BC43" i="7"/>
  <c r="W81" i="10" s="1"/>
  <c r="BF39" i="7"/>
  <c r="BB40" i="7"/>
  <c r="BD42" i="7"/>
  <c r="W88" i="10" s="1"/>
  <c r="BI41" i="7"/>
  <c r="W159" i="10" s="1"/>
  <c r="BI43" i="7"/>
  <c r="W161" i="10" s="1"/>
  <c r="BD40" i="7"/>
  <c r="BI42" i="7"/>
  <c r="W160" i="10" s="1"/>
  <c r="BH39" i="7"/>
  <c r="BE40" i="7"/>
  <c r="BJ42" i="7"/>
  <c r="W168" i="10" s="1"/>
  <c r="BB42" i="7"/>
  <c r="W72" i="10" s="1"/>
  <c r="BK42" i="7"/>
  <c r="W176" i="10" s="1"/>
  <c r="BC42" i="7"/>
  <c r="W80" i="10" s="1"/>
  <c r="BL42" i="7"/>
  <c r="W184" i="10" s="1"/>
  <c r="BH40" i="7" l="1"/>
  <c r="BH41" i="7" s="1"/>
  <c r="T125" i="15"/>
  <c r="S124" i="15"/>
  <c r="B447" i="10" s="1"/>
  <c r="B446" i="10"/>
  <c r="B414" i="10" s="1"/>
  <c r="B415" i="10" s="1"/>
  <c r="CK105" i="14"/>
  <c r="G559" i="10" s="1"/>
  <c r="G558" i="10"/>
  <c r="BW63" i="14"/>
  <c r="B503" i="10" s="1"/>
  <c r="B502" i="10"/>
  <c r="B494" i="10" s="1"/>
  <c r="B495" i="10" s="1"/>
  <c r="CJ84" i="14"/>
  <c r="C545" i="10" s="1"/>
  <c r="C537" i="10" s="1"/>
  <c r="C542" i="10"/>
  <c r="C534" i="10" s="1"/>
  <c r="C535" i="10" s="1"/>
  <c r="CL105" i="14"/>
  <c r="G567" i="10" s="1"/>
  <c r="G566" i="10"/>
  <c r="G534" i="10" s="1"/>
  <c r="G535" i="10" s="1"/>
  <c r="BP153" i="14"/>
  <c r="J545" i="10" s="1"/>
  <c r="J537" i="10" s="1"/>
  <c r="J542" i="10"/>
  <c r="J534" i="10" s="1"/>
  <c r="J535" i="10" s="1"/>
  <c r="BY151" i="14"/>
  <c r="K519" i="10" s="1"/>
  <c r="K518" i="10"/>
  <c r="K494" i="10" s="1"/>
  <c r="K495" i="10" s="1"/>
  <c r="S151" i="14"/>
  <c r="M559" i="10" s="1"/>
  <c r="M558" i="10"/>
  <c r="M534" i="10" s="1"/>
  <c r="M535" i="10" s="1"/>
  <c r="AD151" i="14"/>
  <c r="E551" i="10" s="1"/>
  <c r="E550" i="10"/>
  <c r="E534" i="10" s="1"/>
  <c r="E535" i="10" s="1"/>
  <c r="AR151" i="14"/>
  <c r="B559" i="10" s="1"/>
  <c r="B558" i="10"/>
  <c r="B534" i="10" s="1"/>
  <c r="B535" i="10" s="1"/>
  <c r="J496" i="10"/>
  <c r="D188" i="10"/>
  <c r="AC188" i="10" s="1"/>
  <c r="I192" i="10"/>
  <c r="W149" i="10"/>
  <c r="BJ41" i="7"/>
  <c r="W167" i="10" s="1"/>
  <c r="W166" i="10"/>
  <c r="BB41" i="7"/>
  <c r="W71" i="10" s="1"/>
  <c r="W70" i="10"/>
  <c r="BE41" i="7"/>
  <c r="W63" i="10" s="1"/>
  <c r="W62" i="10"/>
  <c r="W56" i="10"/>
  <c r="W152" i="10"/>
  <c r="BL41" i="7"/>
  <c r="W183" i="10" s="1"/>
  <c r="W182" i="10"/>
  <c r="BD41" i="7"/>
  <c r="W87" i="10" s="1"/>
  <c r="W86" i="10"/>
  <c r="BJ43" i="7"/>
  <c r="W169" i="10" s="1"/>
  <c r="W153" i="10" s="1"/>
  <c r="BK41" i="7"/>
  <c r="W175" i="10" s="1"/>
  <c r="W174" i="10"/>
  <c r="BC41" i="7"/>
  <c r="W79" i="10" s="1"/>
  <c r="W78" i="10"/>
  <c r="L192" i="10"/>
  <c r="BI100" i="15"/>
  <c r="BV70" i="15"/>
  <c r="I125" i="15"/>
  <c r="AJ153" i="15"/>
  <c r="AI150" i="15"/>
  <c r="AI151" i="15" s="1"/>
  <c r="BV69" i="15"/>
  <c r="BT24" i="15"/>
  <c r="BZ102" i="15"/>
  <c r="BV101" i="15"/>
  <c r="AT152" i="15"/>
  <c r="BV125" i="15"/>
  <c r="BT125" i="15"/>
  <c r="BS126" i="15"/>
  <c r="AI124" i="15"/>
  <c r="AI125" i="15"/>
  <c r="AG125" i="15"/>
  <c r="BV71" i="15"/>
  <c r="BP69" i="15"/>
  <c r="I126" i="15"/>
  <c r="BI25" i="15"/>
  <c r="BI24" i="15"/>
  <c r="BI23" i="15"/>
  <c r="BG47" i="15"/>
  <c r="V126" i="15"/>
  <c r="T123" i="15"/>
  <c r="T124" i="15" s="1"/>
  <c r="P124" i="15"/>
  <c r="BI101" i="15"/>
  <c r="BI102" i="15"/>
  <c r="AP124" i="15"/>
  <c r="BV100" i="15"/>
  <c r="V151" i="15"/>
  <c r="AR126" i="15"/>
  <c r="BG152" i="15"/>
  <c r="BQ102" i="15"/>
  <c r="AT123" i="15"/>
  <c r="AT124" i="15" s="1"/>
  <c r="AG150" i="15"/>
  <c r="AG151" i="15" s="1"/>
  <c r="BD71" i="15"/>
  <c r="BC71" i="15"/>
  <c r="BT99" i="15"/>
  <c r="BT100" i="15" s="1"/>
  <c r="BI46" i="15"/>
  <c r="BC48" i="15"/>
  <c r="T151" i="15"/>
  <c r="T152" i="15"/>
  <c r="I150" i="15"/>
  <c r="I153" i="15" s="1"/>
  <c r="M153" i="15"/>
  <c r="G152" i="15"/>
  <c r="D153" i="15"/>
  <c r="G150" i="15"/>
  <c r="C151" i="15"/>
  <c r="BV23" i="15"/>
  <c r="BV24" i="15"/>
  <c r="V127" i="14"/>
  <c r="AI106" i="14"/>
  <c r="CE40" i="14"/>
  <c r="BV64" i="14"/>
  <c r="AI105" i="14"/>
  <c r="V152" i="14"/>
  <c r="CG39" i="14"/>
  <c r="CC38" i="14"/>
  <c r="CG37" i="14"/>
  <c r="CG38" i="14" s="1"/>
  <c r="BV39" i="14"/>
  <c r="T128" i="14"/>
  <c r="P129" i="14"/>
  <c r="T126" i="14"/>
  <c r="T127" i="14" s="1"/>
  <c r="CI83" i="14"/>
  <c r="CG83" i="14"/>
  <c r="BC17" i="14"/>
  <c r="AT128" i="14"/>
  <c r="AS129" i="14"/>
  <c r="CI106" i="14"/>
  <c r="BG152" i="14"/>
  <c r="AT150" i="14"/>
  <c r="AT151" i="14" s="1"/>
  <c r="V105" i="14"/>
  <c r="CI129" i="14"/>
  <c r="CG128" i="14"/>
  <c r="CI128" i="14"/>
  <c r="CI127" i="14"/>
  <c r="BV152" i="14"/>
  <c r="BI151" i="14"/>
  <c r="BI82" i="14"/>
  <c r="AV106" i="14"/>
  <c r="AG106" i="14"/>
  <c r="CI107" i="14"/>
  <c r="AT106" i="14"/>
  <c r="BT104" i="14"/>
  <c r="BT105" i="14" s="1"/>
  <c r="BP107" i="14"/>
  <c r="BG128" i="14"/>
  <c r="BE129" i="14"/>
  <c r="BI127" i="14"/>
  <c r="AF107" i="14"/>
  <c r="AI153" i="14"/>
  <c r="BV62" i="14"/>
  <c r="BV63" i="14" s="1"/>
  <c r="CI37" i="14"/>
  <c r="CI40" i="14" s="1"/>
  <c r="BT64" i="14"/>
  <c r="AS153" i="14"/>
  <c r="CE129" i="14"/>
  <c r="J521" i="10" s="1"/>
  <c r="J497" i="10" s="1"/>
  <c r="CI105" i="14"/>
  <c r="AG128" i="14"/>
  <c r="AT152" i="14"/>
  <c r="BF129" i="14"/>
  <c r="AG126" i="14"/>
  <c r="AG127" i="14" s="1"/>
  <c r="AC127" i="14"/>
  <c r="BV105" i="14"/>
  <c r="BI152" i="14"/>
  <c r="BW65" i="14"/>
  <c r="B505" i="10" s="1"/>
  <c r="B497" i="10" s="1"/>
  <c r="AV151" i="14"/>
  <c r="AG151" i="14"/>
  <c r="BF153" i="14"/>
  <c r="CG84" i="14"/>
  <c r="R129" i="14"/>
  <c r="BD129" i="14"/>
  <c r="AI107" i="14"/>
  <c r="AV127" i="14"/>
  <c r="AC129" i="14"/>
  <c r="AQ129" i="14"/>
  <c r="BG126" i="14"/>
  <c r="BG127" i="14" s="1"/>
  <c r="AI126" i="14"/>
  <c r="AI127" i="14" s="1"/>
  <c r="AJ127" i="14"/>
  <c r="AT126" i="14"/>
  <c r="AT127" i="14" s="1"/>
  <c r="BP17" i="14"/>
  <c r="BT16" i="14"/>
  <c r="BI16" i="14"/>
  <c r="BI19" i="14" s="1"/>
  <c r="BV25" i="15"/>
  <c r="BS25" i="15"/>
  <c r="BT22" i="15"/>
  <c r="BT23" i="15" s="1"/>
  <c r="BG24" i="15"/>
  <c r="BG22" i="15"/>
  <c r="BG23" i="15" s="1"/>
  <c r="BV47" i="15"/>
  <c r="BT45" i="15"/>
  <c r="BT46" i="15" s="1"/>
  <c r="BP46" i="15"/>
  <c r="BT47" i="15"/>
  <c r="BV45" i="15"/>
  <c r="BV46" i="15" s="1"/>
  <c r="BP48" i="15"/>
  <c r="BY48" i="15"/>
  <c r="BI48" i="15"/>
  <c r="BI47" i="15"/>
  <c r="BE48" i="15"/>
  <c r="BG45" i="15"/>
  <c r="BT70" i="15"/>
  <c r="BQ71" i="15"/>
  <c r="BT68" i="15"/>
  <c r="BT69" i="15" s="1"/>
  <c r="BG70" i="15"/>
  <c r="BI69" i="15"/>
  <c r="BI71" i="15"/>
  <c r="BI70" i="15"/>
  <c r="BG68" i="15"/>
  <c r="BG69" i="15" s="1"/>
  <c r="BV102" i="15"/>
  <c r="BT101" i="15"/>
  <c r="BV124" i="15"/>
  <c r="BV126" i="15"/>
  <c r="BT123" i="15"/>
  <c r="BG100" i="15"/>
  <c r="BG102" i="15"/>
  <c r="BG101" i="15"/>
  <c r="BE153" i="15"/>
  <c r="BI152" i="15"/>
  <c r="BG150" i="15"/>
  <c r="BI151" i="15"/>
  <c r="BF153" i="15"/>
  <c r="BI153" i="15"/>
  <c r="AY153" i="15"/>
  <c r="AP151" i="15"/>
  <c r="AT150" i="15"/>
  <c r="AT151" i="15" s="1"/>
  <c r="AV150" i="15"/>
  <c r="AW151" i="15"/>
  <c r="AE153" i="15"/>
  <c r="AG152" i="15"/>
  <c r="AP153" i="15"/>
  <c r="AI152" i="15"/>
  <c r="AI153" i="15"/>
  <c r="V153" i="15"/>
  <c r="V152" i="15"/>
  <c r="I152" i="15"/>
  <c r="AV126" i="15"/>
  <c r="AV124" i="15"/>
  <c r="AG123" i="15"/>
  <c r="AG124" i="15" s="1"/>
  <c r="AI126" i="15"/>
  <c r="AE126" i="15"/>
  <c r="V125" i="15"/>
  <c r="V124" i="15"/>
  <c r="G123" i="15"/>
  <c r="G124" i="15" s="1"/>
  <c r="I124" i="15"/>
  <c r="F126" i="15"/>
  <c r="G125" i="15"/>
  <c r="BV83" i="14"/>
  <c r="BV84" i="14"/>
  <c r="BT83" i="14"/>
  <c r="BT84" i="14"/>
  <c r="BG82" i="14"/>
  <c r="CG82" i="14"/>
  <c r="BG83" i="14"/>
  <c r="BG84" i="14"/>
  <c r="BV82" i="14"/>
  <c r="BT82" i="14"/>
  <c r="BI83" i="14"/>
  <c r="BI84" i="14"/>
  <c r="CI81" i="14"/>
  <c r="CJ82" i="14"/>
  <c r="C543" i="10" s="1"/>
  <c r="BV106" i="14"/>
  <c r="BV107" i="14"/>
  <c r="CF107" i="14"/>
  <c r="I233" i="10" s="1"/>
  <c r="I193" i="10" s="1"/>
  <c r="CG106" i="14"/>
  <c r="CG104" i="14"/>
  <c r="CG105" i="14" s="1"/>
  <c r="BT106" i="14"/>
  <c r="CG126" i="14"/>
  <c r="BT150" i="14"/>
  <c r="BT151" i="14" s="1"/>
  <c r="BP151" i="14"/>
  <c r="J543" i="10" s="1"/>
  <c r="BT152" i="14"/>
  <c r="BV150" i="14"/>
  <c r="BY153" i="14"/>
  <c r="K521" i="10" s="1"/>
  <c r="K497" i="10" s="1"/>
  <c r="BI153" i="14"/>
  <c r="BI129" i="14"/>
  <c r="BI128" i="14"/>
  <c r="BG150" i="14"/>
  <c r="AV128" i="14"/>
  <c r="AV129" i="14"/>
  <c r="AV152" i="14"/>
  <c r="AT105" i="14"/>
  <c r="AW105" i="14"/>
  <c r="AV104" i="14"/>
  <c r="AT107" i="14"/>
  <c r="AI152" i="14"/>
  <c r="AG104" i="14"/>
  <c r="AG153" i="14"/>
  <c r="AG152" i="14"/>
  <c r="AI128" i="14"/>
  <c r="AI151" i="14"/>
  <c r="AE107" i="14"/>
  <c r="V107" i="14"/>
  <c r="T150" i="14"/>
  <c r="T151" i="14" s="1"/>
  <c r="P151" i="14"/>
  <c r="T152" i="14"/>
  <c r="P153" i="14"/>
  <c r="V151" i="14"/>
  <c r="V129" i="14"/>
  <c r="V128" i="14"/>
  <c r="T107" i="14"/>
  <c r="T106" i="14"/>
  <c r="V153" i="14"/>
  <c r="J129" i="14"/>
  <c r="I126" i="14"/>
  <c r="I127" i="14" s="1"/>
  <c r="BV17" i="14"/>
  <c r="BV18" i="14"/>
  <c r="BT38" i="14"/>
  <c r="G151" i="14"/>
  <c r="BI18" i="14"/>
  <c r="BM19" i="14"/>
  <c r="I105" i="14"/>
  <c r="G105" i="14"/>
  <c r="BG63" i="14"/>
  <c r="BP40" i="14"/>
  <c r="BI37" i="14"/>
  <c r="BI38" i="14" s="1"/>
  <c r="CI16" i="14"/>
  <c r="CJ17" i="14"/>
  <c r="CG16" i="14"/>
  <c r="CC17" i="14"/>
  <c r="BS19" i="14"/>
  <c r="BL19" i="14"/>
  <c r="BG18" i="14"/>
  <c r="BD19" i="14"/>
  <c r="J151" i="14"/>
  <c r="I150" i="14"/>
  <c r="I151" i="14" s="1"/>
  <c r="G152" i="14"/>
  <c r="G153" i="14"/>
  <c r="J153" i="14"/>
  <c r="I152" i="14"/>
  <c r="G129" i="14"/>
  <c r="G128" i="14"/>
  <c r="I128" i="14"/>
  <c r="G127" i="14"/>
  <c r="I106" i="14"/>
  <c r="I107" i="14"/>
  <c r="G106" i="14"/>
  <c r="G107" i="14"/>
  <c r="CG62" i="14"/>
  <c r="CG63" i="14" s="1"/>
  <c r="CI62" i="14"/>
  <c r="CI63" i="14" s="1"/>
  <c r="CJ63" i="14"/>
  <c r="CG64" i="14"/>
  <c r="CI64" i="14"/>
  <c r="CI39" i="14"/>
  <c r="CJ65" i="14"/>
  <c r="CD65" i="14"/>
  <c r="BV38" i="14"/>
  <c r="BT62" i="14"/>
  <c r="BP63" i="14"/>
  <c r="BV40" i="14"/>
  <c r="BT39" i="14"/>
  <c r="BT40" i="14"/>
  <c r="BV19" i="14"/>
  <c r="BJ63" i="14"/>
  <c r="BI62" i="14"/>
  <c r="BI63" i="14" s="1"/>
  <c r="BE19" i="14"/>
  <c r="BG37" i="14"/>
  <c r="BG38" i="14" s="1"/>
  <c r="BC38" i="14"/>
  <c r="BG39" i="14"/>
  <c r="BI64" i="14"/>
  <c r="BG16" i="14"/>
  <c r="BG65" i="14"/>
  <c r="BG64" i="14"/>
  <c r="BF19" i="14"/>
  <c r="BC40" i="14"/>
  <c r="BK65" i="14"/>
  <c r="L217" i="10" s="1"/>
  <c r="BI39" i="14"/>
  <c r="BK40" i="14"/>
  <c r="BJ65" i="14"/>
  <c r="L201" i="10" s="1"/>
  <c r="BF42" i="7"/>
  <c r="BE43" i="7"/>
  <c r="W65" i="10" s="1"/>
  <c r="BB43" i="7"/>
  <c r="W73" i="10" s="1"/>
  <c r="BF40" i="7"/>
  <c r="BF41" i="7" s="1"/>
  <c r="BD43" i="7"/>
  <c r="W89" i="10" s="1"/>
  <c r="AC193" i="10" l="1"/>
  <c r="T9" i="12"/>
  <c r="AC192" i="10"/>
  <c r="W150" i="10"/>
  <c r="W151" i="10" s="1"/>
  <c r="W57" i="10"/>
  <c r="W54" i="10"/>
  <c r="W55" i="10" s="1"/>
  <c r="L193" i="10"/>
  <c r="AG153" i="15"/>
  <c r="BT102" i="15"/>
  <c r="T126" i="15"/>
  <c r="G126" i="15"/>
  <c r="AT153" i="15"/>
  <c r="BT71" i="15"/>
  <c r="AT126" i="15"/>
  <c r="BT48" i="15"/>
  <c r="I151" i="15"/>
  <c r="G151" i="15"/>
  <c r="G153" i="15"/>
  <c r="AI129" i="14"/>
  <c r="BT107" i="14"/>
  <c r="CG40" i="14"/>
  <c r="T129" i="14"/>
  <c r="AT153" i="14"/>
  <c r="BI40" i="14"/>
  <c r="BT153" i="14"/>
  <c r="CG107" i="14"/>
  <c r="BV65" i="14"/>
  <c r="CG65" i="14"/>
  <c r="AT129" i="14"/>
  <c r="AG129" i="14"/>
  <c r="CI38" i="14"/>
  <c r="T153" i="14"/>
  <c r="BG129" i="14"/>
  <c r="BI17" i="14"/>
  <c r="BT17" i="14"/>
  <c r="BT19" i="14"/>
  <c r="BT25" i="15"/>
  <c r="BG25" i="15"/>
  <c r="BV48" i="15"/>
  <c r="BG46" i="15"/>
  <c r="BG48" i="15"/>
  <c r="BG71" i="15"/>
  <c r="BT124" i="15"/>
  <c r="BT126" i="15"/>
  <c r="BG151" i="15"/>
  <c r="BG153" i="15"/>
  <c r="AV151" i="15"/>
  <c r="AV153" i="15"/>
  <c r="AG126" i="15"/>
  <c r="CI82" i="14"/>
  <c r="CI84" i="14"/>
  <c r="CG127" i="14"/>
  <c r="CG129" i="14"/>
  <c r="BV151" i="14"/>
  <c r="BV153" i="14"/>
  <c r="BG151" i="14"/>
  <c r="BG153" i="14"/>
  <c r="AV105" i="14"/>
  <c r="AV107" i="14"/>
  <c r="AG105" i="14"/>
  <c r="AG107" i="14"/>
  <c r="I129" i="14"/>
  <c r="BI65" i="14"/>
  <c r="I153" i="14"/>
  <c r="CI65" i="14"/>
  <c r="BG40" i="14"/>
  <c r="CI17" i="14"/>
  <c r="CI19" i="14"/>
  <c r="CG17" i="14"/>
  <c r="CG19" i="14"/>
  <c r="BT63" i="14"/>
  <c r="BT65" i="14"/>
  <c r="BG17" i="14"/>
  <c r="BG19" i="14"/>
  <c r="BF43" i="7"/>
  <c r="C43" i="12" l="1"/>
  <c r="P42" i="12"/>
  <c r="O35" i="12"/>
  <c r="O36" i="12" s="1"/>
  <c r="O33" i="12"/>
  <c r="O31" i="12"/>
  <c r="O25" i="12"/>
  <c r="O10" i="12"/>
  <c r="O11" i="12"/>
  <c r="O12" i="12"/>
  <c r="E40" i="12" l="1"/>
  <c r="K41" i="17" s="1"/>
  <c r="D40" i="12"/>
  <c r="H41" i="17" s="1"/>
  <c r="C40" i="12"/>
  <c r="E41" i="17" s="1"/>
  <c r="B40" i="12"/>
  <c r="P38" i="12"/>
  <c r="P39" i="12"/>
  <c r="D43" i="12"/>
  <c r="B43" i="12"/>
  <c r="B44" i="17" s="1"/>
  <c r="P16" i="12"/>
  <c r="L25" i="10"/>
  <c r="DI44" i="17" l="1"/>
  <c r="C44" i="17"/>
  <c r="DM44" i="17"/>
  <c r="CA44" i="17"/>
  <c r="BZ44" i="17"/>
  <c r="CR44" i="17"/>
  <c r="P43" i="12"/>
  <c r="AB44" i="10"/>
  <c r="P44" i="10"/>
  <c r="Z38" i="10"/>
  <c r="AB38" i="10"/>
  <c r="P36" i="10"/>
  <c r="D25" i="10"/>
  <c r="M20" i="10"/>
  <c r="M13" i="10"/>
  <c r="H17" i="10"/>
  <c r="M17" i="10"/>
  <c r="S11" i="29"/>
  <c r="U11" i="29"/>
  <c r="Y14" i="29"/>
  <c r="Y15" i="29" s="1"/>
  <c r="Y16" i="29" s="1"/>
  <c r="X14" i="29"/>
  <c r="X15" i="29" s="1"/>
  <c r="X16" i="29" s="1"/>
  <c r="W14" i="29"/>
  <c r="W15" i="29" s="1"/>
  <c r="W16" i="29" s="1"/>
  <c r="V14" i="29"/>
  <c r="R14" i="29"/>
  <c r="Q14" i="29"/>
  <c r="P14" i="29"/>
  <c r="O14" i="29"/>
  <c r="O15" i="29" s="1"/>
  <c r="M14" i="10" s="1"/>
  <c r="L14" i="29"/>
  <c r="K14" i="29"/>
  <c r="J14" i="29"/>
  <c r="J15" i="29" s="1"/>
  <c r="J16" i="29" s="1"/>
  <c r="L15" i="10" s="1"/>
  <c r="I14" i="29"/>
  <c r="E14" i="29"/>
  <c r="E15" i="29" s="1"/>
  <c r="E16" i="29" s="1"/>
  <c r="D14" i="29"/>
  <c r="D15" i="29" s="1"/>
  <c r="D16" i="29" s="1"/>
  <c r="C14" i="29"/>
  <c r="C15" i="29" s="1"/>
  <c r="C16" i="29" s="1"/>
  <c r="B14" i="29"/>
  <c r="B15" i="29" s="1"/>
  <c r="Y13" i="29"/>
  <c r="X13" i="29"/>
  <c r="X18" i="29" s="1"/>
  <c r="W13" i="29"/>
  <c r="V13" i="29"/>
  <c r="R13" i="29"/>
  <c r="M28" i="10" s="1"/>
  <c r="Q13" i="29"/>
  <c r="Q17" i="29" s="1"/>
  <c r="M24" i="10" s="1"/>
  <c r="P13" i="29"/>
  <c r="M36" i="10" s="1"/>
  <c r="O13" i="29"/>
  <c r="O18" i="29" s="1"/>
  <c r="L13" i="29"/>
  <c r="L20" i="10" s="1"/>
  <c r="K13" i="29"/>
  <c r="L36" i="10" s="1"/>
  <c r="J13" i="29"/>
  <c r="L12" i="10" s="1"/>
  <c r="I13" i="29"/>
  <c r="L28" i="10" s="1"/>
  <c r="E13" i="29"/>
  <c r="E17" i="29" s="1"/>
  <c r="D13" i="29"/>
  <c r="C13" i="29"/>
  <c r="B13" i="29"/>
  <c r="B18" i="29" s="1"/>
  <c r="U10" i="29"/>
  <c r="S10" i="29"/>
  <c r="U9" i="29"/>
  <c r="S9" i="29"/>
  <c r="H9" i="29"/>
  <c r="F9" i="29"/>
  <c r="U8" i="29"/>
  <c r="S8" i="29"/>
  <c r="H8" i="29"/>
  <c r="F8" i="29"/>
  <c r="U7" i="29"/>
  <c r="S7" i="29"/>
  <c r="H7" i="29"/>
  <c r="F7" i="29"/>
  <c r="U6" i="29"/>
  <c r="S6" i="29"/>
  <c r="H6" i="29"/>
  <c r="F6" i="29"/>
  <c r="U5" i="29"/>
  <c r="S5" i="29"/>
  <c r="H5" i="29"/>
  <c r="F5" i="29"/>
  <c r="U4" i="29"/>
  <c r="S4" i="29"/>
  <c r="H4" i="29"/>
  <c r="F4" i="29"/>
  <c r="F17" i="28"/>
  <c r="H17" i="28"/>
  <c r="F14" i="28"/>
  <c r="H14" i="28"/>
  <c r="F15" i="28"/>
  <c r="H15" i="28"/>
  <c r="F16" i="28"/>
  <c r="H16" i="28"/>
  <c r="Y20" i="28"/>
  <c r="X20" i="28"/>
  <c r="X21" i="28" s="1"/>
  <c r="W20" i="28"/>
  <c r="V20" i="28"/>
  <c r="K21" i="10" s="1"/>
  <c r="R20" i="28"/>
  <c r="R21" i="28" s="1"/>
  <c r="R22" i="28" s="1"/>
  <c r="Q20" i="28"/>
  <c r="Q21" i="28" s="1"/>
  <c r="Q22" i="28" s="1"/>
  <c r="P20" i="28"/>
  <c r="P21" i="28" s="1"/>
  <c r="P22" i="28" s="1"/>
  <c r="O20" i="28"/>
  <c r="O21" i="28" s="1"/>
  <c r="O22" i="28" s="1"/>
  <c r="L20" i="28"/>
  <c r="L21" i="28" s="1"/>
  <c r="L22" i="28" s="1"/>
  <c r="K20" i="28"/>
  <c r="K21" i="28" s="1"/>
  <c r="K22" i="28" s="1"/>
  <c r="J20" i="28"/>
  <c r="J21" i="28" s="1"/>
  <c r="J22" i="28" s="1"/>
  <c r="I20" i="28"/>
  <c r="E20" i="28"/>
  <c r="D20" i="28"/>
  <c r="C20" i="28"/>
  <c r="C21" i="28" s="1"/>
  <c r="C22" i="28" s="1"/>
  <c r="J15" i="10" s="1"/>
  <c r="B20" i="28"/>
  <c r="J29" i="10" s="1"/>
  <c r="Y19" i="28"/>
  <c r="K36" i="10" s="1"/>
  <c r="X19" i="28"/>
  <c r="X23" i="28" s="1"/>
  <c r="K16" i="10" s="1"/>
  <c r="W19" i="28"/>
  <c r="K28" i="10" s="1"/>
  <c r="V19" i="28"/>
  <c r="R19" i="28"/>
  <c r="R23" i="28" s="1"/>
  <c r="Q19" i="28"/>
  <c r="Q23" i="28" s="1"/>
  <c r="P19" i="28"/>
  <c r="P23" i="28" s="1"/>
  <c r="O19" i="28"/>
  <c r="L19" i="28"/>
  <c r="K19" i="28"/>
  <c r="J19" i="28"/>
  <c r="I19" i="28"/>
  <c r="I23" i="28" s="1"/>
  <c r="D19" i="28"/>
  <c r="J36" i="10" s="1"/>
  <c r="C19" i="28"/>
  <c r="J12" i="10" s="1"/>
  <c r="B19" i="28"/>
  <c r="J28" i="10" s="1"/>
  <c r="H13" i="28"/>
  <c r="F13" i="28"/>
  <c r="U12" i="28"/>
  <c r="S12" i="28"/>
  <c r="H12" i="28"/>
  <c r="F12" i="28"/>
  <c r="U11" i="28"/>
  <c r="S11" i="28"/>
  <c r="H11" i="28"/>
  <c r="F11" i="28"/>
  <c r="U10" i="28"/>
  <c r="S10" i="28"/>
  <c r="H10" i="28"/>
  <c r="F10" i="28"/>
  <c r="U9" i="28"/>
  <c r="S9" i="28"/>
  <c r="H9" i="28"/>
  <c r="F9" i="28"/>
  <c r="U8" i="28"/>
  <c r="S8" i="28"/>
  <c r="H8" i="28"/>
  <c r="F8" i="28"/>
  <c r="U7" i="28"/>
  <c r="S7" i="28"/>
  <c r="H7" i="28"/>
  <c r="F7" i="28"/>
  <c r="U6" i="28"/>
  <c r="S6" i="28"/>
  <c r="H6" i="28"/>
  <c r="F6" i="28"/>
  <c r="U5" i="28"/>
  <c r="S5" i="28"/>
  <c r="H5" i="28"/>
  <c r="F5" i="28"/>
  <c r="U4" i="28"/>
  <c r="S4" i="28"/>
  <c r="H4" i="28"/>
  <c r="F4" i="28"/>
  <c r="U8" i="27"/>
  <c r="Y14" i="27"/>
  <c r="Y15" i="27" s="1"/>
  <c r="Y13" i="27"/>
  <c r="X13" i="27"/>
  <c r="X14" i="27" s="1"/>
  <c r="X15" i="27" s="1"/>
  <c r="W13" i="27"/>
  <c r="W14" i="27" s="1"/>
  <c r="W15" i="27" s="1"/>
  <c r="V13" i="27"/>
  <c r="V14" i="27" s="1"/>
  <c r="V15" i="27" s="1"/>
  <c r="R13" i="27"/>
  <c r="R14" i="27" s="1"/>
  <c r="Q13" i="27"/>
  <c r="P13" i="27"/>
  <c r="I13" i="10" s="1"/>
  <c r="O13" i="27"/>
  <c r="L13" i="27"/>
  <c r="H37" i="10" s="1"/>
  <c r="K13" i="27"/>
  <c r="K14" i="27" s="1"/>
  <c r="K15" i="27" s="1"/>
  <c r="H15" i="10" s="1"/>
  <c r="J13" i="27"/>
  <c r="H29" i="10" s="1"/>
  <c r="I13" i="27"/>
  <c r="I14" i="27" s="1"/>
  <c r="H22" i="10" s="1"/>
  <c r="E13" i="27"/>
  <c r="E14" i="27" s="1"/>
  <c r="E15" i="27" s="1"/>
  <c r="D13" i="27"/>
  <c r="D14" i="27" s="1"/>
  <c r="D15" i="27" s="1"/>
  <c r="C13" i="27"/>
  <c r="C14" i="27" s="1"/>
  <c r="C15" i="27" s="1"/>
  <c r="B13" i="27"/>
  <c r="B14" i="27" s="1"/>
  <c r="B15" i="27" s="1"/>
  <c r="Y12" i="27"/>
  <c r="X12" i="27"/>
  <c r="W12" i="27"/>
  <c r="V12" i="27"/>
  <c r="R12" i="27"/>
  <c r="Q12" i="27"/>
  <c r="P12" i="27"/>
  <c r="I12" i="10" s="1"/>
  <c r="O12" i="27"/>
  <c r="I28" i="10" s="1"/>
  <c r="L12" i="27"/>
  <c r="H36" i="10" s="1"/>
  <c r="K12" i="27"/>
  <c r="K16" i="27" s="1"/>
  <c r="H16" i="10" s="1"/>
  <c r="J12" i="27"/>
  <c r="H28" i="10" s="1"/>
  <c r="I12" i="27"/>
  <c r="H20" i="10" s="1"/>
  <c r="E12" i="27"/>
  <c r="D12" i="27"/>
  <c r="C12" i="27"/>
  <c r="B12" i="27"/>
  <c r="U10" i="27"/>
  <c r="S10" i="27"/>
  <c r="U9" i="27"/>
  <c r="S9" i="27"/>
  <c r="H9" i="27"/>
  <c r="F9" i="27"/>
  <c r="S8" i="27"/>
  <c r="H8" i="27"/>
  <c r="F8" i="27"/>
  <c r="U7" i="27"/>
  <c r="S7" i="27"/>
  <c r="H7" i="27"/>
  <c r="F7" i="27"/>
  <c r="U6" i="27"/>
  <c r="S6" i="27"/>
  <c r="H6" i="27"/>
  <c r="F6" i="27"/>
  <c r="U5" i="27"/>
  <c r="S5" i="27"/>
  <c r="H5" i="27"/>
  <c r="F5" i="27"/>
  <c r="U4" i="27"/>
  <c r="S4" i="27"/>
  <c r="H4" i="27"/>
  <c r="F4" i="27"/>
  <c r="S9" i="5"/>
  <c r="U9" i="5"/>
  <c r="S10" i="5"/>
  <c r="U10" i="5"/>
  <c r="F11" i="5"/>
  <c r="H11" i="5"/>
  <c r="F12" i="5"/>
  <c r="H12" i="5"/>
  <c r="BF16" i="8"/>
  <c r="BH16" i="8"/>
  <c r="BF17" i="8"/>
  <c r="BH17" i="8"/>
  <c r="AF12" i="8"/>
  <c r="AH12" i="8"/>
  <c r="F13" i="8"/>
  <c r="H13" i="8"/>
  <c r="F14" i="8"/>
  <c r="H14" i="8"/>
  <c r="F15" i="8"/>
  <c r="H15" i="8"/>
  <c r="BL40" i="8"/>
  <c r="BL41" i="8" s="1"/>
  <c r="BL42" i="8" s="1"/>
  <c r="BK40" i="8"/>
  <c r="BK41" i="8" s="1"/>
  <c r="BK42" i="8" s="1"/>
  <c r="BJ40" i="8"/>
  <c r="BJ41" i="8" s="1"/>
  <c r="BJ42" i="8" s="1"/>
  <c r="BI40" i="8"/>
  <c r="BI41" i="8" s="1"/>
  <c r="BE40" i="8"/>
  <c r="BD40" i="8"/>
  <c r="BC40" i="8"/>
  <c r="BB40" i="8"/>
  <c r="AB77" i="10" s="1"/>
  <c r="BL39" i="8"/>
  <c r="BL44" i="8" s="1"/>
  <c r="BK39" i="8"/>
  <c r="BJ39" i="8"/>
  <c r="BI39" i="8"/>
  <c r="BI43" i="8" s="1"/>
  <c r="BE39" i="8"/>
  <c r="AB68" i="10" s="1"/>
  <c r="BD39" i="8"/>
  <c r="BC39" i="8"/>
  <c r="AB84" i="10" s="1"/>
  <c r="BB39" i="8"/>
  <c r="AB76" i="10" s="1"/>
  <c r="BH36" i="8"/>
  <c r="BF36" i="8"/>
  <c r="BH35" i="8"/>
  <c r="BF35" i="8"/>
  <c r="BH34" i="8"/>
  <c r="BF34" i="8"/>
  <c r="BH33" i="8"/>
  <c r="BF33" i="8"/>
  <c r="BH32" i="8"/>
  <c r="BF32" i="8"/>
  <c r="BH31" i="8"/>
  <c r="BF31" i="8"/>
  <c r="BH30" i="8"/>
  <c r="BF30" i="8"/>
  <c r="BG30" i="8" s="1"/>
  <c r="BH29" i="8"/>
  <c r="BF29" i="8"/>
  <c r="BL20" i="8"/>
  <c r="BK20" i="8"/>
  <c r="AB37" i="10" s="1"/>
  <c r="BJ20" i="8"/>
  <c r="BI20" i="8"/>
  <c r="BI21" i="8" s="1"/>
  <c r="AB30" i="10" s="1"/>
  <c r="BE20" i="8"/>
  <c r="BD20" i="8"/>
  <c r="BC20" i="8"/>
  <c r="AB165" i="10" s="1"/>
  <c r="BB20" i="8"/>
  <c r="AB20" i="10"/>
  <c r="AB36" i="10"/>
  <c r="AB12" i="10"/>
  <c r="AB28" i="10"/>
  <c r="BE19" i="8"/>
  <c r="AB180" i="10" s="1"/>
  <c r="BD19" i="8"/>
  <c r="AB156" i="10" s="1"/>
  <c r="BC19" i="8"/>
  <c r="AB164" i="10" s="1"/>
  <c r="BB19" i="8"/>
  <c r="AB172" i="10" s="1"/>
  <c r="BH15" i="8"/>
  <c r="BF15" i="8"/>
  <c r="BH14" i="8"/>
  <c r="BF14" i="8"/>
  <c r="BH13" i="8"/>
  <c r="BF13" i="8"/>
  <c r="BH12" i="8"/>
  <c r="BF12" i="8"/>
  <c r="BH11" i="8"/>
  <c r="BF11" i="8"/>
  <c r="BH10" i="8"/>
  <c r="BF10" i="8"/>
  <c r="BH9" i="8"/>
  <c r="BF9" i="8"/>
  <c r="BH8" i="8"/>
  <c r="BF8" i="8"/>
  <c r="BH7" i="8"/>
  <c r="BF7" i="8"/>
  <c r="BH6" i="8"/>
  <c r="BF6" i="8"/>
  <c r="BH5" i="8"/>
  <c r="BF5" i="8"/>
  <c r="AS6" i="8"/>
  <c r="AU6" i="8"/>
  <c r="AT6" i="8" s="1"/>
  <c r="AS7" i="8"/>
  <c r="AU7" i="8"/>
  <c r="AS8" i="8"/>
  <c r="AU8" i="8"/>
  <c r="AS9" i="8"/>
  <c r="AU9" i="8"/>
  <c r="AS10" i="8"/>
  <c r="AU10" i="8"/>
  <c r="AS11" i="8"/>
  <c r="AU11" i="8"/>
  <c r="AS12" i="8"/>
  <c r="AU12" i="8"/>
  <c r="AU5" i="8"/>
  <c r="AS5" i="8"/>
  <c r="AU29" i="8"/>
  <c r="AY40" i="8"/>
  <c r="AY41" i="8" s="1"/>
  <c r="AY42" i="8" s="1"/>
  <c r="AX40" i="8"/>
  <c r="AX41" i="8" s="1"/>
  <c r="AX42" i="8" s="1"/>
  <c r="AW40" i="8"/>
  <c r="AW41" i="8" s="1"/>
  <c r="AW42" i="8" s="1"/>
  <c r="AV40" i="8"/>
  <c r="AV41" i="8" s="1"/>
  <c r="AR40" i="8"/>
  <c r="AQ40" i="8"/>
  <c r="AP40" i="8"/>
  <c r="AO40" i="8"/>
  <c r="AA85" i="10" s="1"/>
  <c r="AY39" i="8"/>
  <c r="AX39" i="8"/>
  <c r="AW39" i="8"/>
  <c r="AW43" i="8" s="1"/>
  <c r="AV39" i="8"/>
  <c r="AV43" i="8" s="1"/>
  <c r="AR39" i="8"/>
  <c r="AQ39" i="8"/>
  <c r="AA68" i="10" s="1"/>
  <c r="AP39" i="8"/>
  <c r="AO39" i="8"/>
  <c r="AA84" i="10" s="1"/>
  <c r="AU35" i="8"/>
  <c r="AS35" i="8"/>
  <c r="AU34" i="8"/>
  <c r="AS34" i="8"/>
  <c r="AU33" i="8"/>
  <c r="AS33" i="8"/>
  <c r="AU32" i="8"/>
  <c r="AS32" i="8"/>
  <c r="AU31" i="8"/>
  <c r="AS31" i="8"/>
  <c r="AU30" i="8"/>
  <c r="AS30" i="8"/>
  <c r="AS29" i="8"/>
  <c r="AY20" i="8"/>
  <c r="AX20" i="8"/>
  <c r="AA173" i="10" s="1"/>
  <c r="AW20" i="8"/>
  <c r="AV20" i="8"/>
  <c r="AR20" i="8"/>
  <c r="AQ20" i="8"/>
  <c r="AP20" i="8"/>
  <c r="AA37" i="10" s="1"/>
  <c r="AO20" i="8"/>
  <c r="AA13" i="10" s="1"/>
  <c r="AY19" i="8"/>
  <c r="AA180" i="10" s="1"/>
  <c r="AX19" i="8"/>
  <c r="AW19" i="8"/>
  <c r="AV19" i="8"/>
  <c r="AA156" i="10" s="1"/>
  <c r="AR19" i="8"/>
  <c r="AA28" i="10" s="1"/>
  <c r="AQ19" i="8"/>
  <c r="AP19" i="8"/>
  <c r="AA36" i="10" s="1"/>
  <c r="AO19" i="8"/>
  <c r="AA12" i="10" s="1"/>
  <c r="AS13" i="7"/>
  <c r="AU13" i="7"/>
  <c r="AS14" i="7"/>
  <c r="AU14" i="7"/>
  <c r="AS15" i="7"/>
  <c r="AU15" i="7"/>
  <c r="AS29" i="7"/>
  <c r="AU29" i="7"/>
  <c r="AS30" i="7"/>
  <c r="AU30" i="7"/>
  <c r="AS31" i="7"/>
  <c r="AU31" i="7"/>
  <c r="AS32" i="7"/>
  <c r="AU32" i="7"/>
  <c r="AS33" i="7"/>
  <c r="AU33" i="7"/>
  <c r="AS34" i="7"/>
  <c r="AU34" i="7"/>
  <c r="AS35" i="7"/>
  <c r="AU35" i="7"/>
  <c r="AS36" i="7"/>
  <c r="AU36" i="7"/>
  <c r="AU28" i="7"/>
  <c r="AS28" i="7"/>
  <c r="AF29" i="7"/>
  <c r="AH29" i="7"/>
  <c r="AF30" i="7"/>
  <c r="AH30" i="7"/>
  <c r="AF31" i="7"/>
  <c r="AH31" i="7"/>
  <c r="AF32" i="7"/>
  <c r="AH32" i="7"/>
  <c r="AF33" i="7"/>
  <c r="AH33" i="7"/>
  <c r="AF34" i="7"/>
  <c r="AH34" i="7"/>
  <c r="AH28" i="7"/>
  <c r="AF28" i="7"/>
  <c r="AS6" i="7"/>
  <c r="AU6" i="7"/>
  <c r="AS7" i="7"/>
  <c r="AU7" i="7"/>
  <c r="AS8" i="7"/>
  <c r="AU8" i="7"/>
  <c r="AS9" i="7"/>
  <c r="AU9" i="7"/>
  <c r="AS10" i="7"/>
  <c r="AU10" i="7"/>
  <c r="AS11" i="7"/>
  <c r="AU11" i="7"/>
  <c r="AS12" i="7"/>
  <c r="AU12" i="7"/>
  <c r="AU5" i="7"/>
  <c r="AS5" i="7"/>
  <c r="AF6" i="7"/>
  <c r="AH6" i="7"/>
  <c r="AF7" i="7"/>
  <c r="AH7" i="7"/>
  <c r="AF8" i="7"/>
  <c r="AH8" i="7"/>
  <c r="AF9" i="7"/>
  <c r="AH9" i="7"/>
  <c r="AF10" i="7"/>
  <c r="AH10" i="7"/>
  <c r="AF11" i="7"/>
  <c r="AH11" i="7"/>
  <c r="AF12" i="7"/>
  <c r="AH12" i="7"/>
  <c r="AF13" i="7"/>
  <c r="AH13" i="7"/>
  <c r="AF14" i="7"/>
  <c r="AH14" i="7"/>
  <c r="AF15" i="7"/>
  <c r="AH15" i="7"/>
  <c r="AF16" i="7"/>
  <c r="AH16" i="7"/>
  <c r="AH5" i="7"/>
  <c r="AF5" i="7"/>
  <c r="AY39" i="7"/>
  <c r="V61" i="10" s="1"/>
  <c r="AX39" i="7"/>
  <c r="AW39" i="7"/>
  <c r="AV39" i="7"/>
  <c r="AR39" i="7"/>
  <c r="AQ39" i="7"/>
  <c r="AP39" i="7"/>
  <c r="V165" i="10" s="1"/>
  <c r="AO39" i="7"/>
  <c r="AL39" i="7"/>
  <c r="AK39" i="7"/>
  <c r="AJ39" i="7"/>
  <c r="AI39" i="7"/>
  <c r="AE39" i="7"/>
  <c r="AD39" i="7"/>
  <c r="AC39" i="7"/>
  <c r="AB39" i="7"/>
  <c r="AY38" i="7"/>
  <c r="V60" i="10" s="1"/>
  <c r="AX38" i="7"/>
  <c r="AW38" i="7"/>
  <c r="V76" i="10" s="1"/>
  <c r="AV38" i="7"/>
  <c r="V68" i="10" s="1"/>
  <c r="AR38" i="7"/>
  <c r="AQ38" i="7"/>
  <c r="AP38" i="7"/>
  <c r="V164" i="10" s="1"/>
  <c r="AO38" i="7"/>
  <c r="V156" i="10" s="1"/>
  <c r="AL38" i="7"/>
  <c r="U180" i="10" s="1"/>
  <c r="AK38" i="7"/>
  <c r="AJ38" i="7"/>
  <c r="AI38" i="7"/>
  <c r="AE38" i="7"/>
  <c r="AD38" i="7"/>
  <c r="AC38" i="7"/>
  <c r="U60" i="10" s="1"/>
  <c r="AB38" i="7"/>
  <c r="U84" i="10" s="1"/>
  <c r="AY19" i="7"/>
  <c r="AY20" i="7" s="1"/>
  <c r="AY21" i="7" s="1"/>
  <c r="V23" i="10" s="1"/>
  <c r="AX19" i="7"/>
  <c r="AW19" i="7"/>
  <c r="AW20" i="7" s="1"/>
  <c r="AV19" i="7"/>
  <c r="V29" i="10" s="1"/>
  <c r="AR19" i="7"/>
  <c r="AQ19" i="7"/>
  <c r="AP19" i="7"/>
  <c r="AO19" i="7"/>
  <c r="AL19" i="7"/>
  <c r="AK19" i="7"/>
  <c r="AJ19" i="7"/>
  <c r="AI19" i="7"/>
  <c r="AE19" i="7"/>
  <c r="AE20" i="7" s="1"/>
  <c r="AE21" i="7" s="1"/>
  <c r="U31" i="10" s="1"/>
  <c r="AD19" i="7"/>
  <c r="AD20" i="7" s="1"/>
  <c r="AD21" i="7" s="1"/>
  <c r="U23" i="10" s="1"/>
  <c r="AC19" i="7"/>
  <c r="AC20" i="7" s="1"/>
  <c r="AC21" i="7" s="1"/>
  <c r="U39" i="10" s="1"/>
  <c r="AB19" i="7"/>
  <c r="AB20" i="7" s="1"/>
  <c r="U14" i="10" s="1"/>
  <c r="AY18" i="7"/>
  <c r="AX18" i="7"/>
  <c r="AW18" i="7"/>
  <c r="V12" i="10" s="1"/>
  <c r="AV18" i="7"/>
  <c r="V28" i="10" s="1"/>
  <c r="AR18" i="7"/>
  <c r="V124" i="10" s="1"/>
  <c r="AQ18" i="7"/>
  <c r="V116" i="10" s="1"/>
  <c r="AP18" i="7"/>
  <c r="AO18" i="7"/>
  <c r="V100" i="10" s="1"/>
  <c r="AL18" i="7"/>
  <c r="U124" i="10" s="1"/>
  <c r="AK18" i="7"/>
  <c r="AJ18" i="7"/>
  <c r="AI18" i="7"/>
  <c r="AE18" i="7"/>
  <c r="AE22" i="7" s="1"/>
  <c r="U32" i="10" s="1"/>
  <c r="AD18" i="7"/>
  <c r="AD23" i="7" s="1"/>
  <c r="U25" i="10" s="1"/>
  <c r="AC18" i="7"/>
  <c r="U36" i="10" s="1"/>
  <c r="AB18" i="7"/>
  <c r="AH17" i="6"/>
  <c r="AF17" i="6"/>
  <c r="AH16" i="6"/>
  <c r="AF16" i="6"/>
  <c r="AH15" i="6"/>
  <c r="AF15" i="6"/>
  <c r="AU14" i="6"/>
  <c r="AS14" i="6"/>
  <c r="AH14" i="6"/>
  <c r="AF14" i="6"/>
  <c r="H13" i="6"/>
  <c r="AU5" i="6"/>
  <c r="AU6" i="6"/>
  <c r="AU7" i="6"/>
  <c r="AU8" i="6"/>
  <c r="AU9" i="6"/>
  <c r="AU10" i="6"/>
  <c r="AU11" i="6"/>
  <c r="AU12" i="6"/>
  <c r="AU13" i="6"/>
  <c r="S117" i="6"/>
  <c r="AS80" i="6"/>
  <c r="AU80" i="6"/>
  <c r="AS81" i="6"/>
  <c r="AU81" i="6"/>
  <c r="AS82" i="6"/>
  <c r="AU82" i="6"/>
  <c r="AS83" i="6"/>
  <c r="AU83" i="6"/>
  <c r="AS84" i="6"/>
  <c r="AU84" i="6"/>
  <c r="AS85" i="6"/>
  <c r="AU85" i="6"/>
  <c r="AS86" i="6"/>
  <c r="AU86" i="6"/>
  <c r="AS87" i="6"/>
  <c r="AU87" i="6"/>
  <c r="AU79" i="6"/>
  <c r="AU77" i="6" s="1"/>
  <c r="AS79" i="6"/>
  <c r="AF80" i="6"/>
  <c r="AH80" i="6"/>
  <c r="AF81" i="6"/>
  <c r="AH81" i="6"/>
  <c r="AF82" i="6"/>
  <c r="AH82" i="6"/>
  <c r="AF83" i="6"/>
  <c r="AH83" i="6"/>
  <c r="AF84" i="6"/>
  <c r="AH84" i="6"/>
  <c r="AF85" i="6"/>
  <c r="AH85" i="6"/>
  <c r="AF86" i="6"/>
  <c r="AH86" i="6"/>
  <c r="AH79" i="6"/>
  <c r="AH77" i="6" s="1"/>
  <c r="AF79" i="6"/>
  <c r="BF80" i="6"/>
  <c r="BH80" i="6"/>
  <c r="BF81" i="6"/>
  <c r="BH81" i="6"/>
  <c r="BF82" i="6"/>
  <c r="BH82" i="6"/>
  <c r="BF83" i="6"/>
  <c r="BH83" i="6"/>
  <c r="BF84" i="6"/>
  <c r="BH84" i="6"/>
  <c r="BF85" i="6"/>
  <c r="BH85" i="6"/>
  <c r="BH79" i="6"/>
  <c r="BF79" i="6"/>
  <c r="AF58" i="6"/>
  <c r="AH58" i="6"/>
  <c r="AH57" i="6"/>
  <c r="AF57" i="6"/>
  <c r="AS6" i="6"/>
  <c r="AS7" i="6"/>
  <c r="AS8" i="6"/>
  <c r="AS9" i="6"/>
  <c r="AS10" i="6"/>
  <c r="AS11" i="6"/>
  <c r="AS12" i="6"/>
  <c r="AS13" i="6"/>
  <c r="AS34" i="6"/>
  <c r="AU34" i="6"/>
  <c r="AS35" i="6"/>
  <c r="AU35" i="6"/>
  <c r="AS36" i="6"/>
  <c r="AU36" i="6"/>
  <c r="AS37" i="6"/>
  <c r="AU37" i="6"/>
  <c r="AS38" i="6"/>
  <c r="AU38" i="6"/>
  <c r="AS39" i="6"/>
  <c r="AU39" i="6"/>
  <c r="AS40" i="6"/>
  <c r="AU40" i="6"/>
  <c r="AU33" i="6"/>
  <c r="AS33" i="6"/>
  <c r="AF34" i="6"/>
  <c r="AH34" i="6"/>
  <c r="AF35" i="6"/>
  <c r="AH35" i="6"/>
  <c r="AF36" i="6"/>
  <c r="AH36" i="6"/>
  <c r="AF37" i="6"/>
  <c r="AH37" i="6"/>
  <c r="AF38" i="6"/>
  <c r="AH38" i="6"/>
  <c r="AF39" i="6"/>
  <c r="AH39" i="6"/>
  <c r="AF40" i="6"/>
  <c r="AH40" i="6"/>
  <c r="AH33" i="6"/>
  <c r="AF33" i="6"/>
  <c r="AS5" i="6"/>
  <c r="AF6" i="6"/>
  <c r="AH6" i="6"/>
  <c r="AF7" i="6"/>
  <c r="AH7" i="6"/>
  <c r="AF8" i="6"/>
  <c r="AH8" i="6"/>
  <c r="AF9" i="6"/>
  <c r="AH9" i="6"/>
  <c r="AF10" i="6"/>
  <c r="AH10" i="6"/>
  <c r="AF11" i="6"/>
  <c r="AH11" i="6"/>
  <c r="AF12" i="6"/>
  <c r="AH12" i="6"/>
  <c r="AF13" i="6"/>
  <c r="AH13" i="6"/>
  <c r="AF18" i="6"/>
  <c r="AH18" i="6"/>
  <c r="AF19" i="6"/>
  <c r="AH19" i="6"/>
  <c r="AF20" i="6"/>
  <c r="AH20" i="6"/>
  <c r="AF21" i="6"/>
  <c r="AH21" i="6"/>
  <c r="AH5" i="6"/>
  <c r="AF5" i="6"/>
  <c r="AY90" i="6"/>
  <c r="AX90" i="6"/>
  <c r="AW90" i="6"/>
  <c r="AV92" i="6"/>
  <c r="Q183" i="10" s="1"/>
  <c r="AR90" i="6"/>
  <c r="AR91" i="6" s="1"/>
  <c r="AR92" i="6" s="1"/>
  <c r="AQ90" i="6"/>
  <c r="AQ91" i="6" s="1"/>
  <c r="AQ92" i="6" s="1"/>
  <c r="AP90" i="6"/>
  <c r="AP91" i="6" s="1"/>
  <c r="AP92" i="6" s="1"/>
  <c r="AO90" i="6"/>
  <c r="AO91" i="6" s="1"/>
  <c r="AL90" i="6"/>
  <c r="AL91" i="6" s="1"/>
  <c r="AL92" i="6" s="1"/>
  <c r="AK90" i="6"/>
  <c r="AK91" i="6" s="1"/>
  <c r="AK92" i="6" s="1"/>
  <c r="AJ90" i="6"/>
  <c r="AJ91" i="6" s="1"/>
  <c r="AJ92" i="6" s="1"/>
  <c r="AI90" i="6"/>
  <c r="AE90" i="6"/>
  <c r="AD90" i="6"/>
  <c r="AC90" i="6"/>
  <c r="AB90" i="6"/>
  <c r="AY89" i="6"/>
  <c r="AX89" i="6"/>
  <c r="Q164" i="10" s="1"/>
  <c r="AW89" i="6"/>
  <c r="Q172" i="10" s="1"/>
  <c r="AR89" i="6"/>
  <c r="AQ89" i="6"/>
  <c r="AQ93" i="6" s="1"/>
  <c r="AP89" i="6"/>
  <c r="AO89" i="6"/>
  <c r="AL89" i="6"/>
  <c r="AK89" i="6"/>
  <c r="AJ89" i="6"/>
  <c r="AI89" i="6"/>
  <c r="AE89" i="6"/>
  <c r="AD89" i="6"/>
  <c r="P172" i="10" s="1"/>
  <c r="AC89" i="6"/>
  <c r="AB89" i="6"/>
  <c r="P156" i="10" s="1"/>
  <c r="BL92" i="6"/>
  <c r="BK92" i="6"/>
  <c r="BJ92" i="6"/>
  <c r="BE92" i="6"/>
  <c r="R183" i="10" s="1"/>
  <c r="BD92" i="6"/>
  <c r="R159" i="10" s="1"/>
  <c r="BC92" i="6"/>
  <c r="R167" i="10" s="1"/>
  <c r="AL70" i="6"/>
  <c r="AL71" i="6" s="1"/>
  <c r="AL72" i="6" s="1"/>
  <c r="AK70" i="6"/>
  <c r="AK71" i="6" s="1"/>
  <c r="AK72" i="6" s="1"/>
  <c r="AJ70" i="6"/>
  <c r="AI70" i="6"/>
  <c r="AI71" i="6" s="1"/>
  <c r="AE70" i="6"/>
  <c r="AD70" i="6"/>
  <c r="AC70" i="6"/>
  <c r="AB70" i="6"/>
  <c r="BE93" i="6"/>
  <c r="R184" i="10" s="1"/>
  <c r="BD93" i="6"/>
  <c r="R160" i="10" s="1"/>
  <c r="AL69" i="6"/>
  <c r="AK69" i="6"/>
  <c r="AJ69" i="6"/>
  <c r="AI69" i="6"/>
  <c r="AI73" i="6" s="1"/>
  <c r="AE69" i="6"/>
  <c r="P84" i="10" s="1"/>
  <c r="AD69" i="6"/>
  <c r="P76" i="10" s="1"/>
  <c r="AC69" i="6"/>
  <c r="P68" i="10" s="1"/>
  <c r="AB69" i="6"/>
  <c r="P60" i="10" s="1"/>
  <c r="AY48" i="6"/>
  <c r="AY49" i="6" s="1"/>
  <c r="AY50" i="6" s="1"/>
  <c r="AX48" i="6"/>
  <c r="AX49" i="6" s="1"/>
  <c r="AX50" i="6" s="1"/>
  <c r="AW48" i="6"/>
  <c r="AW49" i="6" s="1"/>
  <c r="AW50" i="6" s="1"/>
  <c r="AV48" i="6"/>
  <c r="AV49" i="6" s="1"/>
  <c r="AR48" i="6"/>
  <c r="AR49" i="6" s="1"/>
  <c r="AR50" i="6" s="1"/>
  <c r="AQ48" i="6"/>
  <c r="AQ49" i="6" s="1"/>
  <c r="AQ50" i="6" s="1"/>
  <c r="AP48" i="6"/>
  <c r="AP49" i="6" s="1"/>
  <c r="AP50" i="6" s="1"/>
  <c r="AO48" i="6"/>
  <c r="AL48" i="6"/>
  <c r="AL49" i="6" s="1"/>
  <c r="AL50" i="6" s="1"/>
  <c r="AK48" i="6"/>
  <c r="AK49" i="6" s="1"/>
  <c r="AK50" i="6" s="1"/>
  <c r="AJ48" i="6"/>
  <c r="AJ49" i="6" s="1"/>
  <c r="AJ50" i="6" s="1"/>
  <c r="AI48" i="6"/>
  <c r="AI49" i="6" s="1"/>
  <c r="AE48" i="6"/>
  <c r="AE49" i="6" s="1"/>
  <c r="AE50" i="6" s="1"/>
  <c r="AD48" i="6"/>
  <c r="AD49" i="6" s="1"/>
  <c r="AD50" i="6" s="1"/>
  <c r="AC48" i="6"/>
  <c r="AC49" i="6" s="1"/>
  <c r="AC50" i="6" s="1"/>
  <c r="AB48" i="6"/>
  <c r="AB49" i="6" s="1"/>
  <c r="AY47" i="6"/>
  <c r="AX47" i="6"/>
  <c r="AW47" i="6"/>
  <c r="AV47" i="6"/>
  <c r="AV51" i="6" s="1"/>
  <c r="AR47" i="6"/>
  <c r="AQ47" i="6"/>
  <c r="AP47" i="6"/>
  <c r="AO47" i="6"/>
  <c r="AL47" i="6"/>
  <c r="AK47" i="6"/>
  <c r="AJ47" i="6"/>
  <c r="AI47" i="6"/>
  <c r="AE47" i="6"/>
  <c r="AE51" i="6" s="1"/>
  <c r="AD47" i="6"/>
  <c r="AC47" i="6"/>
  <c r="AB47" i="6"/>
  <c r="AY24" i="6"/>
  <c r="AY25" i="6" s="1"/>
  <c r="AY26" i="6" s="1"/>
  <c r="AX24" i="6"/>
  <c r="AX26" i="6" s="1"/>
  <c r="Q399" i="10" s="1"/>
  <c r="AW24" i="6"/>
  <c r="AV24" i="6"/>
  <c r="AV25" i="6" s="1"/>
  <c r="AR24" i="6"/>
  <c r="AQ24" i="6"/>
  <c r="AQ25" i="6" s="1"/>
  <c r="AP24" i="6"/>
  <c r="AO24" i="6"/>
  <c r="Q13" i="10" s="1"/>
  <c r="AL24" i="6"/>
  <c r="AL25" i="6" s="1"/>
  <c r="AK24" i="6"/>
  <c r="AK25" i="6" s="1"/>
  <c r="P38" i="10" s="1"/>
  <c r="AJ24" i="6"/>
  <c r="P13" i="10" s="1"/>
  <c r="AI24" i="6"/>
  <c r="P29" i="10" s="1"/>
  <c r="AE24" i="6"/>
  <c r="AE25" i="6" s="1"/>
  <c r="AE26" i="6" s="1"/>
  <c r="AD24" i="6"/>
  <c r="AD25" i="6" s="1"/>
  <c r="AD26" i="6" s="1"/>
  <c r="AC24" i="6"/>
  <c r="AC25" i="6" s="1"/>
  <c r="AC26" i="6" s="1"/>
  <c r="AB24" i="6"/>
  <c r="AB25" i="6" s="1"/>
  <c r="AY23" i="6"/>
  <c r="AX23" i="6"/>
  <c r="AW23" i="6"/>
  <c r="AV23" i="6"/>
  <c r="AR23" i="6"/>
  <c r="AQ23" i="6"/>
  <c r="AP23" i="6"/>
  <c r="Q36" i="10" s="1"/>
  <c r="AO23" i="6"/>
  <c r="Q12" i="10" s="1"/>
  <c r="AL23" i="6"/>
  <c r="P20" i="10" s="1"/>
  <c r="AJ23" i="6"/>
  <c r="P12" i="10" s="1"/>
  <c r="AI23" i="6"/>
  <c r="P28" i="10" s="1"/>
  <c r="AE23" i="6"/>
  <c r="AD23" i="6"/>
  <c r="AC23" i="6"/>
  <c r="AB23" i="6"/>
  <c r="CZ44" i="17" l="1"/>
  <c r="CT44" i="17"/>
  <c r="CM44" i="17"/>
  <c r="DA44" i="17"/>
  <c r="CC44" i="17"/>
  <c r="DL44" i="17"/>
  <c r="DN44" i="17"/>
  <c r="CW44" i="17"/>
  <c r="DH44" i="17"/>
  <c r="DE44" i="17"/>
  <c r="CD44" i="17"/>
  <c r="CU44" i="17"/>
  <c r="BV44" i="17"/>
  <c r="DJ44" i="17"/>
  <c r="CK44" i="17"/>
  <c r="BW44" i="17"/>
  <c r="DF44" i="17"/>
  <c r="CH44" i="17"/>
  <c r="CB44" i="17"/>
  <c r="CI44" i="17"/>
  <c r="DR44" i="17"/>
  <c r="DZ44" i="17"/>
  <c r="CY44" i="17"/>
  <c r="DV44" i="17"/>
  <c r="AI22" i="7"/>
  <c r="U104" i="10" s="1"/>
  <c r="U100" i="10"/>
  <c r="AI20" i="7"/>
  <c r="U102" i="10" s="1"/>
  <c r="U101" i="10"/>
  <c r="AJ22" i="7"/>
  <c r="U112" i="10" s="1"/>
  <c r="U108" i="10"/>
  <c r="AJ20" i="7"/>
  <c r="U109" i="10"/>
  <c r="AK23" i="7"/>
  <c r="U121" i="10" s="1"/>
  <c r="U116" i="10"/>
  <c r="AK20" i="7"/>
  <c r="U117" i="10"/>
  <c r="AL20" i="7"/>
  <c r="U125" i="10"/>
  <c r="AO20" i="7"/>
  <c r="V102" i="10" s="1"/>
  <c r="V101" i="10"/>
  <c r="AS3" i="7"/>
  <c r="AP22" i="7"/>
  <c r="V112" i="10" s="1"/>
  <c r="V108" i="10"/>
  <c r="V92" i="10" s="1"/>
  <c r="AP20" i="7"/>
  <c r="V109" i="10"/>
  <c r="AR20" i="7"/>
  <c r="V125" i="10"/>
  <c r="AQ20" i="7"/>
  <c r="V117" i="10"/>
  <c r="AB148" i="10"/>
  <c r="AT9" i="8"/>
  <c r="BG7" i="8"/>
  <c r="AY44" i="8"/>
  <c r="AW23" i="8"/>
  <c r="AA168" i="10" s="1"/>
  <c r="AA164" i="10"/>
  <c r="AW21" i="8"/>
  <c r="AA165" i="10"/>
  <c r="BB21" i="8"/>
  <c r="AB173" i="10"/>
  <c r="AX24" i="8"/>
  <c r="AA177" i="10" s="1"/>
  <c r="AA172" i="10"/>
  <c r="AA60" i="10"/>
  <c r="AP41" i="8"/>
  <c r="AA61" i="10"/>
  <c r="BC41" i="8"/>
  <c r="AB85" i="10"/>
  <c r="AV21" i="8"/>
  <c r="AA158" i="10" s="1"/>
  <c r="AA157" i="10"/>
  <c r="AY21" i="8"/>
  <c r="AA181" i="10"/>
  <c r="AQ41" i="8"/>
  <c r="AA69" i="10"/>
  <c r="BD21" i="8"/>
  <c r="AB158" i="10" s="1"/>
  <c r="AB157" i="10"/>
  <c r="BD43" i="8"/>
  <c r="AB64" i="10" s="1"/>
  <c r="AB60" i="10"/>
  <c r="AB52" i="10" s="1"/>
  <c r="BD41" i="8"/>
  <c r="AB62" i="10" s="1"/>
  <c r="AB61" i="10"/>
  <c r="AR43" i="8"/>
  <c r="AA80" i="10" s="1"/>
  <c r="AA76" i="10"/>
  <c r="AA77" i="10"/>
  <c r="AR41" i="8"/>
  <c r="AA78" i="10" s="1"/>
  <c r="BE21" i="8"/>
  <c r="AB181" i="10"/>
  <c r="BE41" i="8"/>
  <c r="AB69" i="10"/>
  <c r="AT7" i="7"/>
  <c r="P52" i="10"/>
  <c r="BH89" i="6"/>
  <c r="BH77" i="6"/>
  <c r="AJ73" i="6"/>
  <c r="AY93" i="6"/>
  <c r="Q160" i="10" s="1"/>
  <c r="Q156" i="10"/>
  <c r="Q148" i="10" s="1"/>
  <c r="AY91" i="6"/>
  <c r="Q157" i="10"/>
  <c r="BF89" i="6"/>
  <c r="BF77" i="6"/>
  <c r="AC91" i="6"/>
  <c r="AC94" i="6" s="1"/>
  <c r="P169" i="10" s="1"/>
  <c r="P165" i="10"/>
  <c r="P164" i="10"/>
  <c r="AD91" i="6"/>
  <c r="AF91" i="6" s="1"/>
  <c r="AF92" i="6" s="1"/>
  <c r="P173" i="10"/>
  <c r="AB91" i="6"/>
  <c r="P157" i="10"/>
  <c r="AB71" i="6"/>
  <c r="P62" i="10" s="1"/>
  <c r="P61" i="10"/>
  <c r="AE91" i="6"/>
  <c r="AE94" i="6" s="1"/>
  <c r="P185" i="10" s="1"/>
  <c r="P181" i="10"/>
  <c r="AF55" i="6"/>
  <c r="AC71" i="6"/>
  <c r="P69" i="10"/>
  <c r="AE93" i="6"/>
  <c r="P184" i="10" s="1"/>
  <c r="P180" i="10"/>
  <c r="AH55" i="6"/>
  <c r="AD71" i="6"/>
  <c r="P77" i="10"/>
  <c r="AW91" i="6"/>
  <c r="AW94" i="6" s="1"/>
  <c r="Q177" i="10" s="1"/>
  <c r="Q173" i="10"/>
  <c r="AF77" i="6"/>
  <c r="AS77" i="6"/>
  <c r="AE71" i="6"/>
  <c r="P85" i="10"/>
  <c r="AX91" i="6"/>
  <c r="AX94" i="6" s="1"/>
  <c r="Q169" i="10" s="1"/>
  <c r="Q165" i="10"/>
  <c r="AB23" i="7"/>
  <c r="U17" i="10" s="1"/>
  <c r="AL40" i="7"/>
  <c r="AL43" i="7" s="1"/>
  <c r="U185" i="10" s="1"/>
  <c r="U181" i="10"/>
  <c r="AT6" i="7"/>
  <c r="AB40" i="7"/>
  <c r="U86" i="10" s="1"/>
  <c r="U85" i="10"/>
  <c r="AC40" i="7"/>
  <c r="U61" i="10"/>
  <c r="AU3" i="7"/>
  <c r="AD42" i="7"/>
  <c r="U72" i="10" s="1"/>
  <c r="U68" i="10"/>
  <c r="AQ42" i="7"/>
  <c r="V176" i="10" s="1"/>
  <c r="V172" i="10"/>
  <c r="AD40" i="7"/>
  <c r="U69" i="10"/>
  <c r="AQ40" i="7"/>
  <c r="V174" i="10" s="1"/>
  <c r="V173" i="10"/>
  <c r="AO40" i="7"/>
  <c r="V158" i="10" s="1"/>
  <c r="V157" i="10"/>
  <c r="AE42" i="7"/>
  <c r="U80" i="10" s="1"/>
  <c r="U76" i="10"/>
  <c r="AR42" i="7"/>
  <c r="V184" i="10" s="1"/>
  <c r="V180" i="10"/>
  <c r="AE40" i="7"/>
  <c r="AE43" i="7" s="1"/>
  <c r="U81" i="10" s="1"/>
  <c r="U77" i="10"/>
  <c r="AR40" i="7"/>
  <c r="AR43" i="7" s="1"/>
  <c r="V185" i="10" s="1"/>
  <c r="V181" i="10"/>
  <c r="AI42" i="7"/>
  <c r="U160" i="10" s="1"/>
  <c r="U156" i="10"/>
  <c r="AI40" i="7"/>
  <c r="U157" i="10"/>
  <c r="AV40" i="7"/>
  <c r="V70" i="10" s="1"/>
  <c r="V69" i="10"/>
  <c r="AJ42" i="7"/>
  <c r="U168" i="10" s="1"/>
  <c r="U164" i="10"/>
  <c r="AJ40" i="7"/>
  <c r="U165" i="10"/>
  <c r="AW40" i="7"/>
  <c r="AW43" i="7" s="1"/>
  <c r="V81" i="10" s="1"/>
  <c r="V77" i="10"/>
  <c r="AK42" i="7"/>
  <c r="U176" i="10" s="1"/>
  <c r="U172" i="10"/>
  <c r="AX42" i="7"/>
  <c r="V88" i="10" s="1"/>
  <c r="V84" i="10"/>
  <c r="V52" i="10" s="1"/>
  <c r="AK40" i="7"/>
  <c r="U173" i="10"/>
  <c r="AX40" i="7"/>
  <c r="V85" i="10"/>
  <c r="G5" i="27"/>
  <c r="T5" i="27"/>
  <c r="G4" i="27"/>
  <c r="BB92" i="6"/>
  <c r="R175" i="10" s="1"/>
  <c r="R174" i="10"/>
  <c r="R150" i="10" s="1"/>
  <c r="R151" i="10" s="1"/>
  <c r="BG80" i="6"/>
  <c r="AG84" i="6"/>
  <c r="AG82" i="6"/>
  <c r="AG7" i="6"/>
  <c r="AT87" i="6"/>
  <c r="AT83" i="6"/>
  <c r="AT85" i="6"/>
  <c r="AG58" i="6"/>
  <c r="AB74" i="6"/>
  <c r="P65" i="10" s="1"/>
  <c r="AT82" i="6"/>
  <c r="BG82" i="6"/>
  <c r="AG9" i="6"/>
  <c r="AQ52" i="6"/>
  <c r="AG6" i="6"/>
  <c r="AT86" i="6"/>
  <c r="AF90" i="6"/>
  <c r="BG85" i="6"/>
  <c r="BG81" i="6"/>
  <c r="AT84" i="6"/>
  <c r="AT80" i="6"/>
  <c r="BK94" i="6"/>
  <c r="BG84" i="6"/>
  <c r="BG83" i="6"/>
  <c r="AY51" i="6"/>
  <c r="AU31" i="6"/>
  <c r="AT39" i="6"/>
  <c r="AT35" i="6"/>
  <c r="AT38" i="6"/>
  <c r="AT34" i="6"/>
  <c r="AT40" i="6"/>
  <c r="AT36" i="6"/>
  <c r="AS31" i="6"/>
  <c r="AG34" i="6"/>
  <c r="AH31" i="6"/>
  <c r="AG37" i="6"/>
  <c r="AG40" i="6"/>
  <c r="AG36" i="6"/>
  <c r="AG39" i="6"/>
  <c r="AD52" i="6"/>
  <c r="AT31" i="7"/>
  <c r="AT34" i="7"/>
  <c r="AT30" i="7"/>
  <c r="AT36" i="7"/>
  <c r="AT32" i="7"/>
  <c r="AG33" i="7"/>
  <c r="AG31" i="7"/>
  <c r="AG34" i="7"/>
  <c r="AG30" i="7"/>
  <c r="BG31" i="8"/>
  <c r="BJ43" i="8"/>
  <c r="BG32" i="8"/>
  <c r="BG29" i="8"/>
  <c r="BG34" i="8"/>
  <c r="BF39" i="8"/>
  <c r="AT32" i="8"/>
  <c r="AU27" i="8"/>
  <c r="AT30" i="8"/>
  <c r="AS40" i="8"/>
  <c r="AT34" i="8"/>
  <c r="BG33" i="8"/>
  <c r="AB4" i="10"/>
  <c r="AT33" i="8"/>
  <c r="BG36" i="8"/>
  <c r="AE74" i="6"/>
  <c r="P89" i="10" s="1"/>
  <c r="AP93" i="6"/>
  <c r="AG86" i="6"/>
  <c r="AS18" i="7"/>
  <c r="V44" i="10" s="1"/>
  <c r="BH3" i="8"/>
  <c r="BF40" i="8"/>
  <c r="BF43" i="8" s="1"/>
  <c r="BB41" i="8"/>
  <c r="H1" i="27"/>
  <c r="S13" i="27"/>
  <c r="I29" i="10"/>
  <c r="L14" i="27"/>
  <c r="L17" i="27" s="1"/>
  <c r="H41" i="10" s="1"/>
  <c r="X22" i="28"/>
  <c r="K15" i="10" s="1"/>
  <c r="K14" i="10"/>
  <c r="I15" i="29"/>
  <c r="L30" i="10" s="1"/>
  <c r="L29" i="10"/>
  <c r="M12" i="10"/>
  <c r="H14" i="10"/>
  <c r="J13" i="10"/>
  <c r="AK94" i="6"/>
  <c r="BH90" i="6"/>
  <c r="AW21" i="7"/>
  <c r="V15" i="10" s="1"/>
  <c r="V14" i="10"/>
  <c r="AU18" i="7"/>
  <c r="AQ23" i="8"/>
  <c r="AA24" i="10" s="1"/>
  <c r="AA20" i="10"/>
  <c r="AA4" i="10" s="1"/>
  <c r="AQ21" i="8"/>
  <c r="AA22" i="10" s="1"/>
  <c r="AA21" i="10"/>
  <c r="AX44" i="8"/>
  <c r="P14" i="27"/>
  <c r="Y21" i="28"/>
  <c r="K37" i="10"/>
  <c r="H13" i="10"/>
  <c r="U12" i="10"/>
  <c r="AB29" i="10"/>
  <c r="AP25" i="6"/>
  <c r="Q37" i="10"/>
  <c r="AK74" i="6"/>
  <c r="AL26" i="6"/>
  <c r="P23" i="10" s="1"/>
  <c r="P22" i="10"/>
  <c r="BJ94" i="6"/>
  <c r="AR93" i="6"/>
  <c r="AG38" i="6"/>
  <c r="AG35" i="6"/>
  <c r="AG85" i="6"/>
  <c r="AX20" i="7"/>
  <c r="V37" i="10"/>
  <c r="AR21" i="8"/>
  <c r="AA29" i="10"/>
  <c r="BJ21" i="8"/>
  <c r="BH21" i="8" s="1"/>
  <c r="AB13" i="10"/>
  <c r="BE43" i="8"/>
  <c r="AB72" i="10" s="1"/>
  <c r="G9" i="27"/>
  <c r="Q16" i="27"/>
  <c r="I40" i="10" s="1"/>
  <c r="I36" i="10"/>
  <c r="Q14" i="27"/>
  <c r="I37" i="10"/>
  <c r="K17" i="29"/>
  <c r="L40" i="10" s="1"/>
  <c r="K18" i="29"/>
  <c r="L41" i="10" s="1"/>
  <c r="K15" i="29"/>
  <c r="L37" i="10"/>
  <c r="Q21" i="10"/>
  <c r="P21" i="10"/>
  <c r="AV94" i="6"/>
  <c r="Q185" i="10" s="1"/>
  <c r="AO41" i="8"/>
  <c r="BF27" i="8"/>
  <c r="R16" i="27"/>
  <c r="I24" i="10" s="1"/>
  <c r="I20" i="10"/>
  <c r="R15" i="27"/>
  <c r="I23" i="10" s="1"/>
  <c r="I22" i="10"/>
  <c r="L15" i="29"/>
  <c r="L21" i="10"/>
  <c r="AQ27" i="6"/>
  <c r="Q24" i="10" s="1"/>
  <c r="Q20" i="10"/>
  <c r="AQ26" i="6"/>
  <c r="Q23" i="10" s="1"/>
  <c r="Q22" i="10"/>
  <c r="AL74" i="6"/>
  <c r="AS90" i="6"/>
  <c r="AG81" i="6"/>
  <c r="AT14" i="6"/>
  <c r="AT29" i="7"/>
  <c r="AT31" i="8"/>
  <c r="AQ43" i="8"/>
  <c r="AA72" i="10" s="1"/>
  <c r="BL21" i="8"/>
  <c r="AB21" i="10"/>
  <c r="D21" i="28"/>
  <c r="J37" i="10"/>
  <c r="H12" i="10"/>
  <c r="I21" i="10"/>
  <c r="P15" i="29"/>
  <c r="M37" i="10"/>
  <c r="L14" i="10"/>
  <c r="H21" i="10"/>
  <c r="P37" i="10"/>
  <c r="AR25" i="6"/>
  <c r="Q29" i="10"/>
  <c r="BB94" i="6"/>
  <c r="R177" i="10" s="1"/>
  <c r="E21" i="28"/>
  <c r="J21" i="10"/>
  <c r="AC74" i="6"/>
  <c r="P73" i="10" s="1"/>
  <c r="BC94" i="6"/>
  <c r="R169" i="10" s="1"/>
  <c r="AT37" i="6"/>
  <c r="AG80" i="6"/>
  <c r="AT81" i="6"/>
  <c r="AS27" i="8"/>
  <c r="AS39" i="8"/>
  <c r="AS43" i="8" s="1"/>
  <c r="BH27" i="8"/>
  <c r="BK44" i="8"/>
  <c r="H19" i="28"/>
  <c r="J44" i="10" s="1"/>
  <c r="V23" i="28"/>
  <c r="K24" i="10" s="1"/>
  <c r="K20" i="10"/>
  <c r="Q15" i="29"/>
  <c r="M22" i="10" s="1"/>
  <c r="M21" i="10"/>
  <c r="J14" i="10"/>
  <c r="L13" i="10"/>
  <c r="AR27" i="6"/>
  <c r="Q32" i="10" s="1"/>
  <c r="Q28" i="10"/>
  <c r="AB94" i="6"/>
  <c r="P161" i="10" s="1"/>
  <c r="AG83" i="6"/>
  <c r="AT29" i="8"/>
  <c r="W21" i="28"/>
  <c r="K29" i="10"/>
  <c r="R15" i="29"/>
  <c r="M29" i="10"/>
  <c r="K12" i="10"/>
  <c r="K13" i="10"/>
  <c r="P4" i="10"/>
  <c r="V21" i="10"/>
  <c r="AT8" i="7"/>
  <c r="AG32" i="7"/>
  <c r="AG29" i="7"/>
  <c r="U22" i="10"/>
  <c r="U21" i="10"/>
  <c r="U30" i="10"/>
  <c r="U29" i="10"/>
  <c r="U38" i="10"/>
  <c r="U37" i="10"/>
  <c r="AY22" i="7"/>
  <c r="V24" i="10" s="1"/>
  <c r="AP42" i="7"/>
  <c r="V168" i="10" s="1"/>
  <c r="AY42" i="7"/>
  <c r="V64" i="10" s="1"/>
  <c r="AT35" i="7"/>
  <c r="V13" i="10"/>
  <c r="U20" i="10"/>
  <c r="U28" i="10"/>
  <c r="AL23" i="7"/>
  <c r="U129" i="10" s="1"/>
  <c r="AH39" i="7"/>
  <c r="AB42" i="7"/>
  <c r="U88" i="10" s="1"/>
  <c r="AF38" i="7"/>
  <c r="U13" i="10"/>
  <c r="V20" i="10"/>
  <c r="V36" i="10"/>
  <c r="V22" i="10"/>
  <c r="AT33" i="7"/>
  <c r="T10" i="29"/>
  <c r="T11" i="29"/>
  <c r="T6" i="29"/>
  <c r="T7" i="29"/>
  <c r="T8" i="29"/>
  <c r="J18" i="29"/>
  <c r="L17" i="10" s="1"/>
  <c r="H13" i="29"/>
  <c r="G8" i="29"/>
  <c r="G7" i="29"/>
  <c r="G9" i="29"/>
  <c r="F13" i="29"/>
  <c r="L44" i="10" s="1"/>
  <c r="C18" i="29"/>
  <c r="F1" i="29"/>
  <c r="G6" i="29"/>
  <c r="I17" i="29"/>
  <c r="L32" i="10" s="1"/>
  <c r="H14" i="29"/>
  <c r="H1" i="29"/>
  <c r="T9" i="29"/>
  <c r="U14" i="29"/>
  <c r="M45" i="10" s="1"/>
  <c r="U1" i="29"/>
  <c r="T5" i="29"/>
  <c r="S1" i="29"/>
  <c r="R17" i="29"/>
  <c r="M32" i="10" s="1"/>
  <c r="S13" i="29"/>
  <c r="Q18" i="29"/>
  <c r="M25" i="10" s="1"/>
  <c r="Q16" i="29"/>
  <c r="M23" i="10" s="1"/>
  <c r="D18" i="29"/>
  <c r="W18" i="29"/>
  <c r="H15" i="29"/>
  <c r="I16" i="29"/>
  <c r="L31" i="10" s="1"/>
  <c r="Y18" i="29"/>
  <c r="B16" i="29"/>
  <c r="F15" i="29"/>
  <c r="L46" i="10" s="1"/>
  <c r="P18" i="29"/>
  <c r="M41" i="10" s="1"/>
  <c r="O16" i="29"/>
  <c r="M15" i="10" s="1"/>
  <c r="U13" i="29"/>
  <c r="M44" i="10" s="1"/>
  <c r="J17" i="29"/>
  <c r="L16" i="10" s="1"/>
  <c r="G5" i="29"/>
  <c r="F14" i="29"/>
  <c r="L45" i="10" s="1"/>
  <c r="V15" i="29"/>
  <c r="V18" i="29" s="1"/>
  <c r="B17" i="29"/>
  <c r="V17" i="29"/>
  <c r="R18" i="29"/>
  <c r="M33" i="10" s="1"/>
  <c r="C17" i="29"/>
  <c r="L17" i="29"/>
  <c r="L24" i="10" s="1"/>
  <c r="W17" i="29"/>
  <c r="E18" i="29"/>
  <c r="G4" i="29"/>
  <c r="S14" i="29"/>
  <c r="D17" i="29"/>
  <c r="O17" i="29"/>
  <c r="M16" i="10" s="1"/>
  <c r="X17" i="29"/>
  <c r="I18" i="29"/>
  <c r="L33" i="10" s="1"/>
  <c r="P17" i="29"/>
  <c r="M40" i="10" s="1"/>
  <c r="Y17" i="29"/>
  <c r="T4" i="29"/>
  <c r="T11" i="28"/>
  <c r="R24" i="28"/>
  <c r="T12" i="28"/>
  <c r="T5" i="28"/>
  <c r="T6" i="28"/>
  <c r="T10" i="28"/>
  <c r="U1" i="28"/>
  <c r="T7" i="28"/>
  <c r="T8" i="28"/>
  <c r="T9" i="28"/>
  <c r="G14" i="28"/>
  <c r="G16" i="28"/>
  <c r="G15" i="28"/>
  <c r="G9" i="28"/>
  <c r="G4" i="28"/>
  <c r="G13" i="28"/>
  <c r="G8" i="28"/>
  <c r="G5" i="28"/>
  <c r="G12" i="28"/>
  <c r="G17" i="28"/>
  <c r="E23" i="28"/>
  <c r="J24" i="10" s="1"/>
  <c r="S1" i="28"/>
  <c r="L23" i="28"/>
  <c r="U20" i="28"/>
  <c r="J24" i="28"/>
  <c r="W24" i="28"/>
  <c r="K33" i="10" s="1"/>
  <c r="S19" i="28"/>
  <c r="K44" i="10" s="1"/>
  <c r="K24" i="28"/>
  <c r="S20" i="28"/>
  <c r="K45" i="10" s="1"/>
  <c r="V21" i="28"/>
  <c r="O24" i="28"/>
  <c r="D23" i="28"/>
  <c r="J40" i="10" s="1"/>
  <c r="G10" i="28"/>
  <c r="F20" i="28"/>
  <c r="C24" i="28"/>
  <c r="J17" i="10" s="1"/>
  <c r="G6" i="28"/>
  <c r="G7" i="28"/>
  <c r="B21" i="28"/>
  <c r="G11" i="28"/>
  <c r="Y24" i="28"/>
  <c r="K41" i="10" s="1"/>
  <c r="O23" i="28"/>
  <c r="I21" i="28"/>
  <c r="S21" i="28"/>
  <c r="K46" i="10" s="1"/>
  <c r="D24" i="28"/>
  <c r="J41" i="10" s="1"/>
  <c r="P24" i="28"/>
  <c r="U19" i="28"/>
  <c r="J23" i="28"/>
  <c r="E24" i="28"/>
  <c r="J25" i="10" s="1"/>
  <c r="Q24" i="28"/>
  <c r="F1" i="28"/>
  <c r="T4" i="28"/>
  <c r="B23" i="28"/>
  <c r="J32" i="10" s="1"/>
  <c r="K23" i="28"/>
  <c r="H1" i="28"/>
  <c r="H20" i="28"/>
  <c r="J45" i="10" s="1"/>
  <c r="C23" i="28"/>
  <c r="J16" i="10" s="1"/>
  <c r="W23" i="28"/>
  <c r="K32" i="10" s="1"/>
  <c r="Y23" i="28"/>
  <c r="K40" i="10" s="1"/>
  <c r="X24" i="28"/>
  <c r="K17" i="10" s="1"/>
  <c r="V16" i="27"/>
  <c r="Y17" i="27"/>
  <c r="X17" i="27"/>
  <c r="T7" i="27"/>
  <c r="T9" i="27"/>
  <c r="T6" i="27"/>
  <c r="U1" i="27"/>
  <c r="U13" i="27"/>
  <c r="I45" i="10" s="1"/>
  <c r="W17" i="27"/>
  <c r="T10" i="27"/>
  <c r="V17" i="27"/>
  <c r="P17" i="27"/>
  <c r="I17" i="10" s="1"/>
  <c r="S12" i="27"/>
  <c r="S16" i="27" s="1"/>
  <c r="O14" i="27"/>
  <c r="T8" i="27"/>
  <c r="H12" i="27"/>
  <c r="G6" i="27"/>
  <c r="G8" i="27"/>
  <c r="I16" i="27"/>
  <c r="H24" i="10" s="1"/>
  <c r="J16" i="27"/>
  <c r="H32" i="10" s="1"/>
  <c r="B17" i="27"/>
  <c r="E17" i="27"/>
  <c r="F1" i="27"/>
  <c r="D17" i="27"/>
  <c r="C17" i="27"/>
  <c r="F13" i="27"/>
  <c r="H45" i="10" s="1"/>
  <c r="F12" i="27"/>
  <c r="H44" i="10" s="1"/>
  <c r="G7" i="27"/>
  <c r="I15" i="27"/>
  <c r="H23" i="10" s="1"/>
  <c r="J17" i="27"/>
  <c r="H33" i="10" s="1"/>
  <c r="E16" i="27"/>
  <c r="U12" i="27"/>
  <c r="I44" i="10" s="1"/>
  <c r="J14" i="27"/>
  <c r="U14" i="27"/>
  <c r="I46" i="10" s="1"/>
  <c r="Q17" i="27"/>
  <c r="I41" i="10" s="1"/>
  <c r="P16" i="27"/>
  <c r="I16" i="10" s="1"/>
  <c r="B16" i="27"/>
  <c r="R17" i="27"/>
  <c r="I25" i="10" s="1"/>
  <c r="H13" i="27"/>
  <c r="H16" i="27" s="1"/>
  <c r="C16" i="27"/>
  <c r="L16" i="27"/>
  <c r="H40" i="10" s="1"/>
  <c r="W16" i="27"/>
  <c r="T4" i="27"/>
  <c r="D16" i="27"/>
  <c r="O16" i="27"/>
  <c r="I32" i="10" s="1"/>
  <c r="X16" i="27"/>
  <c r="I17" i="27"/>
  <c r="H25" i="10" s="1"/>
  <c r="S1" i="27"/>
  <c r="F14" i="27"/>
  <c r="Y16" i="27"/>
  <c r="T9" i="5"/>
  <c r="T10" i="5"/>
  <c r="G12" i="5"/>
  <c r="G11" i="5"/>
  <c r="BG15" i="8"/>
  <c r="BG9" i="8"/>
  <c r="BG13" i="8"/>
  <c r="BK24" i="8"/>
  <c r="AB41" i="10" s="1"/>
  <c r="BG12" i="8"/>
  <c r="BG6" i="8"/>
  <c r="BG10" i="8"/>
  <c r="BG14" i="8"/>
  <c r="BH20" i="8"/>
  <c r="BG17" i="8"/>
  <c r="BG16" i="8"/>
  <c r="BD23" i="8"/>
  <c r="AB160" i="10" s="1"/>
  <c r="BK23" i="8"/>
  <c r="AB40" i="10" s="1"/>
  <c r="BG11" i="8"/>
  <c r="BG8" i="8"/>
  <c r="AT10" i="8"/>
  <c r="AU3" i="8"/>
  <c r="AT11" i="8"/>
  <c r="AT7" i="8"/>
  <c r="AT12" i="8"/>
  <c r="AT8" i="8"/>
  <c r="AX23" i="8"/>
  <c r="AA176" i="10" s="1"/>
  <c r="AS3" i="8"/>
  <c r="AG12" i="8"/>
  <c r="AO23" i="8"/>
  <c r="AA16" i="10" s="1"/>
  <c r="G15" i="8"/>
  <c r="G13" i="8"/>
  <c r="G14" i="8"/>
  <c r="BJ23" i="8"/>
  <c r="AB16" i="10" s="1"/>
  <c r="AX22" i="8"/>
  <c r="AA175" i="10" s="1"/>
  <c r="AS20" i="8"/>
  <c r="AO21" i="8"/>
  <c r="BK22" i="8"/>
  <c r="AB39" i="10" s="1"/>
  <c r="BB23" i="8"/>
  <c r="AB176" i="10" s="1"/>
  <c r="AR24" i="8"/>
  <c r="AA33" i="10" s="1"/>
  <c r="BI23" i="8"/>
  <c r="AB32" i="10" s="1"/>
  <c r="AU20" i="8"/>
  <c r="AA45" i="10" s="1"/>
  <c r="BF20" i="8"/>
  <c r="AB45" i="10" s="1"/>
  <c r="AV23" i="8"/>
  <c r="AA160" i="10" s="1"/>
  <c r="AY24" i="8"/>
  <c r="AA185" i="10" s="1"/>
  <c r="BE24" i="8"/>
  <c r="AB185" i="10" s="1"/>
  <c r="BD42" i="8"/>
  <c r="AB63" i="10" s="1"/>
  <c r="BD44" i="8"/>
  <c r="AB65" i="10" s="1"/>
  <c r="BL24" i="8"/>
  <c r="AB25" i="10" s="1"/>
  <c r="BH41" i="8"/>
  <c r="BI42" i="8"/>
  <c r="BI24" i="8"/>
  <c r="AB33" i="10" s="1"/>
  <c r="BI22" i="8"/>
  <c r="AB31" i="10" s="1"/>
  <c r="BG5" i="8"/>
  <c r="BC23" i="8"/>
  <c r="AB168" i="10" s="1"/>
  <c r="BL23" i="8"/>
  <c r="AB24" i="10" s="1"/>
  <c r="BG35" i="8"/>
  <c r="BH39" i="8"/>
  <c r="BE44" i="8"/>
  <c r="AB73" i="10" s="1"/>
  <c r="BE23" i="8"/>
  <c r="AB184" i="10" s="1"/>
  <c r="BH40" i="8"/>
  <c r="BB43" i="8"/>
  <c r="AB80" i="10" s="1"/>
  <c r="BK43" i="8"/>
  <c r="BI44" i="8"/>
  <c r="BC43" i="8"/>
  <c r="AB88" i="10" s="1"/>
  <c r="BL43" i="8"/>
  <c r="BJ44" i="8"/>
  <c r="BC21" i="8"/>
  <c r="AU41" i="8"/>
  <c r="AV42" i="8"/>
  <c r="AQ24" i="8"/>
  <c r="AA25" i="10" s="1"/>
  <c r="AQ22" i="8"/>
  <c r="AA23" i="10" s="1"/>
  <c r="AV22" i="8"/>
  <c r="AA159" i="10" s="1"/>
  <c r="AU21" i="8"/>
  <c r="AA46" i="10" s="1"/>
  <c r="AV24" i="8"/>
  <c r="AA161" i="10" s="1"/>
  <c r="AQ44" i="8"/>
  <c r="AA73" i="10" s="1"/>
  <c r="AP23" i="8"/>
  <c r="AA40" i="10" s="1"/>
  <c r="AY23" i="8"/>
  <c r="AA184" i="10" s="1"/>
  <c r="AW24" i="8"/>
  <c r="AA169" i="10" s="1"/>
  <c r="AT35" i="8"/>
  <c r="AU39" i="8"/>
  <c r="AR23" i="8"/>
  <c r="AA32" i="10" s="1"/>
  <c r="AU40" i="8"/>
  <c r="AO43" i="8"/>
  <c r="AA88" i="10" s="1"/>
  <c r="AX43" i="8"/>
  <c r="AV44" i="8"/>
  <c r="AS19" i="8"/>
  <c r="AP43" i="8"/>
  <c r="AA64" i="10" s="1"/>
  <c r="AY43" i="8"/>
  <c r="AW44" i="8"/>
  <c r="AP21" i="8"/>
  <c r="AT11" i="7"/>
  <c r="AT12" i="7"/>
  <c r="AT9" i="7"/>
  <c r="AT15" i="7"/>
  <c r="AT14" i="7"/>
  <c r="AT13" i="7"/>
  <c r="AR22" i="7"/>
  <c r="V128" i="10" s="1"/>
  <c r="AQ22" i="7"/>
  <c r="V120" i="10" s="1"/>
  <c r="AT10" i="7"/>
  <c r="AU19" i="7"/>
  <c r="AG16" i="7"/>
  <c r="AG12" i="7"/>
  <c r="AG8" i="7"/>
  <c r="AG15" i="7"/>
  <c r="AG11" i="7"/>
  <c r="AG7" i="7"/>
  <c r="AG14" i="7"/>
  <c r="AG10" i="7"/>
  <c r="AG6" i="7"/>
  <c r="AG13" i="7"/>
  <c r="AG9" i="7"/>
  <c r="AC23" i="7"/>
  <c r="U41" i="10" s="1"/>
  <c r="AF3" i="7"/>
  <c r="AB41" i="7"/>
  <c r="U87" i="10" s="1"/>
  <c r="AH20" i="7"/>
  <c r="U46" i="10" s="1"/>
  <c r="AI21" i="7"/>
  <c r="U103" i="10" s="1"/>
  <c r="AQ43" i="7"/>
  <c r="V177" i="10" s="1"/>
  <c r="AQ41" i="7"/>
  <c r="V175" i="10" s="1"/>
  <c r="AW23" i="7"/>
  <c r="V17" i="10" s="1"/>
  <c r="AB21" i="7"/>
  <c r="U15" i="10" s="1"/>
  <c r="AF20" i="7"/>
  <c r="AY23" i="7"/>
  <c r="V25" i="10" s="1"/>
  <c r="AJ43" i="7"/>
  <c r="U169" i="10" s="1"/>
  <c r="AF19" i="7"/>
  <c r="AV20" i="7"/>
  <c r="AB22" i="7"/>
  <c r="U16" i="10" s="1"/>
  <c r="AK22" i="7"/>
  <c r="U120" i="10" s="1"/>
  <c r="AV22" i="7"/>
  <c r="V32" i="10" s="1"/>
  <c r="AQ23" i="7"/>
  <c r="V121" i="10" s="1"/>
  <c r="AF26" i="7"/>
  <c r="AF39" i="7"/>
  <c r="AV42" i="7"/>
  <c r="V72" i="10" s="1"/>
  <c r="AP23" i="7"/>
  <c r="V113" i="10" s="1"/>
  <c r="AH19" i="7"/>
  <c r="U45" i="10" s="1"/>
  <c r="AC22" i="7"/>
  <c r="U40" i="10" s="1"/>
  <c r="AL22" i="7"/>
  <c r="U128" i="10" s="1"/>
  <c r="AW22" i="7"/>
  <c r="V16" i="10" s="1"/>
  <c r="AR23" i="7"/>
  <c r="V129" i="10" s="1"/>
  <c r="AC42" i="7"/>
  <c r="U64" i="10" s="1"/>
  <c r="AL42" i="7"/>
  <c r="U184" i="10" s="1"/>
  <c r="AW42" i="7"/>
  <c r="V80" i="10" s="1"/>
  <c r="AY40" i="7"/>
  <c r="AS19" i="7"/>
  <c r="V45" i="10" s="1"/>
  <c r="AD22" i="7"/>
  <c r="U24" i="10" s="1"/>
  <c r="AO22" i="7"/>
  <c r="V104" i="10" s="1"/>
  <c r="V96" i="10" s="1"/>
  <c r="AX22" i="7"/>
  <c r="V40" i="10" s="1"/>
  <c r="AI23" i="7"/>
  <c r="U105" i="10" s="1"/>
  <c r="AD43" i="7"/>
  <c r="U73" i="10" s="1"/>
  <c r="AS39" i="7"/>
  <c r="AE23" i="7"/>
  <c r="U33" i="10" s="1"/>
  <c r="AJ23" i="7"/>
  <c r="U113" i="10" s="1"/>
  <c r="AU39" i="7"/>
  <c r="AP40" i="7"/>
  <c r="AF18" i="7"/>
  <c r="AO42" i="7"/>
  <c r="V160" i="10" s="1"/>
  <c r="AC43" i="7"/>
  <c r="U65" i="10" s="1"/>
  <c r="AH18" i="7"/>
  <c r="U44" i="10" s="1"/>
  <c r="AV27" i="6"/>
  <c r="AX28" i="6"/>
  <c r="Q401" i="10" s="1"/>
  <c r="AW27" i="6"/>
  <c r="AV28" i="6"/>
  <c r="AP27" i="6"/>
  <c r="Q40" i="10" s="1"/>
  <c r="AO27" i="6"/>
  <c r="Q16" i="10" s="1"/>
  <c r="AS24" i="6"/>
  <c r="AL28" i="6"/>
  <c r="P25" i="10" s="1"/>
  <c r="AG13" i="6"/>
  <c r="AG17" i="6"/>
  <c r="AG18" i="6"/>
  <c r="AG10" i="6"/>
  <c r="AJ27" i="6"/>
  <c r="P16" i="10" s="1"/>
  <c r="AI27" i="6"/>
  <c r="P32" i="10" s="1"/>
  <c r="AG20" i="6"/>
  <c r="AG8" i="6"/>
  <c r="AG11" i="6"/>
  <c r="AG16" i="6"/>
  <c r="AK27" i="6"/>
  <c r="P40" i="10" s="1"/>
  <c r="AG14" i="6"/>
  <c r="AG15" i="6"/>
  <c r="AC28" i="6"/>
  <c r="AE27" i="6"/>
  <c r="AF3" i="6"/>
  <c r="AG12" i="6"/>
  <c r="AB27" i="6"/>
  <c r="AD28" i="6"/>
  <c r="AO25" i="6"/>
  <c r="AH24" i="6"/>
  <c r="AD27" i="6"/>
  <c r="AG19" i="6"/>
  <c r="AQ28" i="6"/>
  <c r="Q25" i="10" s="1"/>
  <c r="AU24" i="6"/>
  <c r="Q45" i="10" s="1"/>
  <c r="AY28" i="6"/>
  <c r="AR28" i="6"/>
  <c r="Q33" i="10" s="1"/>
  <c r="AG21" i="6"/>
  <c r="AH48" i="6"/>
  <c r="AI52" i="6"/>
  <c r="AJ52" i="6"/>
  <c r="AK52" i="6"/>
  <c r="AL51" i="6"/>
  <c r="AL52" i="6"/>
  <c r="AU90" i="6"/>
  <c r="AO94" i="6"/>
  <c r="AO93" i="6"/>
  <c r="AP51" i="6"/>
  <c r="AV52" i="6"/>
  <c r="AV26" i="6"/>
  <c r="AF25" i="6"/>
  <c r="P46" i="10" s="1"/>
  <c r="AB28" i="6"/>
  <c r="AB26" i="6"/>
  <c r="AK28" i="6"/>
  <c r="P41" i="10" s="1"/>
  <c r="AK26" i="6"/>
  <c r="P39" i="10" s="1"/>
  <c r="AW51" i="6"/>
  <c r="AI25" i="6"/>
  <c r="AE28" i="6"/>
  <c r="AB52" i="6"/>
  <c r="AX51" i="6"/>
  <c r="AU48" i="6"/>
  <c r="BI94" i="6"/>
  <c r="AI72" i="6"/>
  <c r="AI93" i="6"/>
  <c r="AX93" i="6"/>
  <c r="Q168" i="10" s="1"/>
  <c r="AU23" i="6"/>
  <c r="Q44" i="10" s="1"/>
  <c r="AJ25" i="6"/>
  <c r="AC51" i="6"/>
  <c r="AC52" i="6"/>
  <c r="AO51" i="6"/>
  <c r="AB51" i="6"/>
  <c r="AH70" i="6"/>
  <c r="AJ71" i="6"/>
  <c r="AH71" i="6" s="1"/>
  <c r="BI92" i="6"/>
  <c r="BH91" i="6"/>
  <c r="AE73" i="6"/>
  <c r="P88" i="10" s="1"/>
  <c r="AJ94" i="6"/>
  <c r="AH90" i="6"/>
  <c r="AI91" i="6"/>
  <c r="AI94" i="6" s="1"/>
  <c r="AO92" i="6"/>
  <c r="AS91" i="6"/>
  <c r="AF24" i="6"/>
  <c r="P45" i="10" s="1"/>
  <c r="AC27" i="6"/>
  <c r="AL27" i="6"/>
  <c r="P24" i="10" s="1"/>
  <c r="AD51" i="6"/>
  <c r="AU49" i="6"/>
  <c r="AV50" i="6"/>
  <c r="AI51" i="6"/>
  <c r="BC93" i="6"/>
  <c r="R168" i="10" s="1"/>
  <c r="AW25" i="6"/>
  <c r="AW26" i="6" s="1"/>
  <c r="AX27" i="6"/>
  <c r="AQ51" i="6"/>
  <c r="AK51" i="6"/>
  <c r="BL94" i="6"/>
  <c r="BL93" i="6"/>
  <c r="AL94" i="6"/>
  <c r="AY27" i="6"/>
  <c r="AR52" i="6"/>
  <c r="AO49" i="6"/>
  <c r="AO52" i="6" s="1"/>
  <c r="AS48" i="6"/>
  <c r="AB50" i="6"/>
  <c r="AF49" i="6"/>
  <c r="AB72" i="6"/>
  <c r="P63" i="10" s="1"/>
  <c r="AF48" i="6"/>
  <c r="AI50" i="6"/>
  <c r="AH49" i="6"/>
  <c r="AE52" i="6"/>
  <c r="AD93" i="6"/>
  <c r="P176" i="10" s="1"/>
  <c r="AX52" i="6"/>
  <c r="AR51" i="6"/>
  <c r="AP52" i="6"/>
  <c r="AY52" i="6"/>
  <c r="AF70" i="6"/>
  <c r="AB73" i="6"/>
  <c r="P64" i="10" s="1"/>
  <c r="AK73" i="6"/>
  <c r="BI93" i="6"/>
  <c r="BD94" i="6"/>
  <c r="R161" i="10" s="1"/>
  <c r="AJ93" i="6"/>
  <c r="AP94" i="6"/>
  <c r="AY94" i="6"/>
  <c r="Q161" i="10" s="1"/>
  <c r="AC73" i="6"/>
  <c r="P72" i="10" s="1"/>
  <c r="AL73" i="6"/>
  <c r="BJ93" i="6"/>
  <c r="BE94" i="6"/>
  <c r="R185" i="10" s="1"/>
  <c r="AB93" i="6"/>
  <c r="P160" i="10" s="1"/>
  <c r="AK93" i="6"/>
  <c r="AV93" i="6"/>
  <c r="Q184" i="10" s="1"/>
  <c r="AQ94" i="6"/>
  <c r="AJ51" i="6"/>
  <c r="BF90" i="6"/>
  <c r="AD73" i="6"/>
  <c r="P80" i="10" s="1"/>
  <c r="BB93" i="6"/>
  <c r="R176" i="10" s="1"/>
  <c r="BK93" i="6"/>
  <c r="AI74" i="6"/>
  <c r="AC93" i="6"/>
  <c r="P168" i="10" s="1"/>
  <c r="AL93" i="6"/>
  <c r="AW93" i="6"/>
  <c r="Q176" i="10" s="1"/>
  <c r="AR94" i="6"/>
  <c r="AF89" i="6"/>
  <c r="BF91" i="6"/>
  <c r="U97" i="10" l="1"/>
  <c r="U96" i="10"/>
  <c r="AO23" i="7"/>
  <c r="V105" i="10" s="1"/>
  <c r="V97" i="10" s="1"/>
  <c r="AR21" i="7"/>
  <c r="V127" i="10" s="1"/>
  <c r="V126" i="10"/>
  <c r="AJ21" i="7"/>
  <c r="U111" i="10" s="1"/>
  <c r="U110" i="10"/>
  <c r="AS20" i="7"/>
  <c r="V46" i="10" s="1"/>
  <c r="AP21" i="7"/>
  <c r="V111" i="10" s="1"/>
  <c r="V110" i="10"/>
  <c r="AL21" i="7"/>
  <c r="U127" i="10" s="1"/>
  <c r="U126" i="10"/>
  <c r="AO21" i="7"/>
  <c r="V103" i="10" s="1"/>
  <c r="AO41" i="7"/>
  <c r="V159" i="10" s="1"/>
  <c r="U93" i="10"/>
  <c r="AK21" i="7"/>
  <c r="U119" i="10" s="1"/>
  <c r="U118" i="10"/>
  <c r="AO43" i="7"/>
  <c r="V161" i="10" s="1"/>
  <c r="U92" i="10"/>
  <c r="AQ21" i="7"/>
  <c r="V119" i="10" s="1"/>
  <c r="V118" i="10"/>
  <c r="V93" i="10"/>
  <c r="U52" i="10"/>
  <c r="P149" i="10"/>
  <c r="V53" i="10"/>
  <c r="P56" i="10"/>
  <c r="AA148" i="10"/>
  <c r="BJ24" i="8"/>
  <c r="AB17" i="10" s="1"/>
  <c r="AB9" i="10" s="1"/>
  <c r="AR42" i="8"/>
  <c r="AA79" i="10" s="1"/>
  <c r="AA153" i="10"/>
  <c r="AA56" i="10"/>
  <c r="BD22" i="8"/>
  <c r="AB159" i="10" s="1"/>
  <c r="AQ42" i="8"/>
  <c r="AA71" i="10" s="1"/>
  <c r="AA70" i="10"/>
  <c r="AP42" i="8"/>
  <c r="AA63" i="10" s="1"/>
  <c r="AA62" i="10"/>
  <c r="AW22" i="8"/>
  <c r="AA167" i="10" s="1"/>
  <c r="AA166" i="10"/>
  <c r="BC42" i="8"/>
  <c r="AB87" i="10" s="1"/>
  <c r="AB86" i="10"/>
  <c r="AA53" i="10"/>
  <c r="BD24" i="8"/>
  <c r="AB161" i="10" s="1"/>
  <c r="AA152" i="10"/>
  <c r="BE42" i="8"/>
  <c r="AB71" i="10" s="1"/>
  <c r="AB70" i="10"/>
  <c r="AB53" i="10"/>
  <c r="AA52" i="10"/>
  <c r="AY22" i="8"/>
  <c r="AA183" i="10" s="1"/>
  <c r="AA182" i="10"/>
  <c r="AP44" i="8"/>
  <c r="AA65" i="10" s="1"/>
  <c r="BB22" i="8"/>
  <c r="AB175" i="10" s="1"/>
  <c r="AB174" i="10"/>
  <c r="BC44" i="8"/>
  <c r="AB89" i="10" s="1"/>
  <c r="BB24" i="8"/>
  <c r="AB177" i="10" s="1"/>
  <c r="BE22" i="8"/>
  <c r="AB183" i="10" s="1"/>
  <c r="AB182" i="10"/>
  <c r="AA149" i="10"/>
  <c r="BC22" i="8"/>
  <c r="AB167" i="10" s="1"/>
  <c r="AB166" i="10"/>
  <c r="AO44" i="8"/>
  <c r="AA89" i="10" s="1"/>
  <c r="AA86" i="10"/>
  <c r="AB56" i="10"/>
  <c r="AB152" i="10"/>
  <c r="BB42" i="8"/>
  <c r="AB79" i="10" s="1"/>
  <c r="AB78" i="10"/>
  <c r="AB149" i="10"/>
  <c r="AH40" i="7"/>
  <c r="AH41" i="7" s="1"/>
  <c r="AV41" i="7"/>
  <c r="V71" i="10" s="1"/>
  <c r="AF40" i="7"/>
  <c r="Q149" i="10"/>
  <c r="P148" i="10"/>
  <c r="AF71" i="6"/>
  <c r="AD94" i="6"/>
  <c r="P177" i="10" s="1"/>
  <c r="P153" i="10" s="1"/>
  <c r="P152" i="10"/>
  <c r="AX92" i="6"/>
  <c r="Q167" i="10" s="1"/>
  <c r="Q166" i="10"/>
  <c r="P53" i="10"/>
  <c r="AY92" i="6"/>
  <c r="Q159" i="10" s="1"/>
  <c r="Q158" i="10"/>
  <c r="AE72" i="6"/>
  <c r="P87" i="10" s="1"/>
  <c r="P86" i="10"/>
  <c r="AD72" i="6"/>
  <c r="P79" i="10" s="1"/>
  <c r="P78" i="10"/>
  <c r="AD92" i="6"/>
  <c r="P175" i="10" s="1"/>
  <c r="P174" i="10"/>
  <c r="Q152" i="10"/>
  <c r="AU91" i="6"/>
  <c r="AD74" i="6"/>
  <c r="P81" i="10" s="1"/>
  <c r="AB92" i="6"/>
  <c r="P159" i="10" s="1"/>
  <c r="P158" i="10"/>
  <c r="AC92" i="6"/>
  <c r="P167" i="10" s="1"/>
  <c r="P166" i="10"/>
  <c r="AE92" i="6"/>
  <c r="P183" i="10" s="1"/>
  <c r="P182" i="10"/>
  <c r="Q153" i="10"/>
  <c r="P57" i="10"/>
  <c r="AC72" i="6"/>
  <c r="P71" i="10" s="1"/>
  <c r="P70" i="10"/>
  <c r="AW92" i="6"/>
  <c r="Q175" i="10" s="1"/>
  <c r="Q174" i="10"/>
  <c r="U56" i="10"/>
  <c r="AY41" i="7"/>
  <c r="V63" i="10" s="1"/>
  <c r="V62" i="10"/>
  <c r="V148" i="10"/>
  <c r="V152" i="10"/>
  <c r="U148" i="10"/>
  <c r="AD41" i="7"/>
  <c r="U71" i="10" s="1"/>
  <c r="U70" i="10"/>
  <c r="U53" i="10"/>
  <c r="AX41" i="7"/>
  <c r="V87" i="10" s="1"/>
  <c r="V86" i="10"/>
  <c r="AP41" i="7"/>
  <c r="V167" i="10" s="1"/>
  <c r="V166" i="10"/>
  <c r="AB43" i="7"/>
  <c r="U89" i="10" s="1"/>
  <c r="U57" i="10" s="1"/>
  <c r="AK41" i="7"/>
  <c r="U175" i="10" s="1"/>
  <c r="U174" i="10"/>
  <c r="AJ41" i="7"/>
  <c r="U167" i="10" s="1"/>
  <c r="U166" i="10"/>
  <c r="U152" i="10"/>
  <c r="AC41" i="7"/>
  <c r="U63" i="10" s="1"/>
  <c r="U62" i="10"/>
  <c r="V149" i="10"/>
  <c r="AF42" i="7"/>
  <c r="AR41" i="7"/>
  <c r="V183" i="10" s="1"/>
  <c r="V182" i="10"/>
  <c r="U149" i="10"/>
  <c r="AW41" i="7"/>
  <c r="V79" i="10" s="1"/>
  <c r="V78" i="10"/>
  <c r="AI43" i="7"/>
  <c r="U161" i="10" s="1"/>
  <c r="U153" i="10" s="1"/>
  <c r="AX43" i="7"/>
  <c r="V89" i="10" s="1"/>
  <c r="AL41" i="7"/>
  <c r="U183" i="10" s="1"/>
  <c r="U182" i="10"/>
  <c r="AI41" i="7"/>
  <c r="U159" i="10" s="1"/>
  <c r="U158" i="10"/>
  <c r="V56" i="10"/>
  <c r="AE41" i="7"/>
  <c r="U79" i="10" s="1"/>
  <c r="U78" i="10"/>
  <c r="R152" i="10"/>
  <c r="R153" i="10"/>
  <c r="AB8" i="10"/>
  <c r="U9" i="10"/>
  <c r="U4" i="10"/>
  <c r="P5" i="10"/>
  <c r="Q5" i="10"/>
  <c r="BH92" i="6"/>
  <c r="AS92" i="6"/>
  <c r="Q8" i="10"/>
  <c r="AU50" i="6"/>
  <c r="Q4" i="10"/>
  <c r="P8" i="10"/>
  <c r="V5" i="10"/>
  <c r="AF43" i="7"/>
  <c r="AO42" i="8"/>
  <c r="AA87" i="10" s="1"/>
  <c r="AS41" i="8"/>
  <c r="AS42" i="8" s="1"/>
  <c r="BF41" i="8"/>
  <c r="BF42" i="8" s="1"/>
  <c r="AA5" i="10"/>
  <c r="BB44" i="8"/>
  <c r="AB81" i="10" s="1"/>
  <c r="AJ26" i="6"/>
  <c r="P15" i="10" s="1"/>
  <c r="P14" i="10"/>
  <c r="AO26" i="6"/>
  <c r="Q15" i="10" s="1"/>
  <c r="Q14" i="10"/>
  <c r="V8" i="10"/>
  <c r="AO22" i="8"/>
  <c r="AA15" i="10" s="1"/>
  <c r="AA14" i="10"/>
  <c r="V4" i="10"/>
  <c r="K16" i="29"/>
  <c r="L39" i="10" s="1"/>
  <c r="L38" i="10"/>
  <c r="Y22" i="28"/>
  <c r="K39" i="10" s="1"/>
  <c r="K38" i="10"/>
  <c r="O15" i="27"/>
  <c r="I31" i="10" s="1"/>
  <c r="I30" i="10"/>
  <c r="AX21" i="7"/>
  <c r="V39" i="10" s="1"/>
  <c r="V38" i="10"/>
  <c r="P15" i="27"/>
  <c r="I15" i="10" s="1"/>
  <c r="I14" i="10"/>
  <c r="AH72" i="6"/>
  <c r="U5" i="10"/>
  <c r="U6" i="10"/>
  <c r="E22" i="28"/>
  <c r="J23" i="10" s="1"/>
  <c r="J22" i="10"/>
  <c r="BL22" i="8"/>
  <c r="AB23" i="10" s="1"/>
  <c r="AB22" i="10"/>
  <c r="AX23" i="7"/>
  <c r="V41" i="10" s="1"/>
  <c r="P16" i="29"/>
  <c r="M39" i="10" s="1"/>
  <c r="M38" i="10"/>
  <c r="AB5" i="10"/>
  <c r="AP26" i="6"/>
  <c r="Q39" i="10" s="1"/>
  <c r="Q38" i="10"/>
  <c r="L15" i="27"/>
  <c r="H39" i="10" s="1"/>
  <c r="H38" i="10"/>
  <c r="B22" i="28"/>
  <c r="J31" i="10" s="1"/>
  <c r="J30" i="10"/>
  <c r="U21" i="28"/>
  <c r="U22" i="28" s="1"/>
  <c r="K22" i="10"/>
  <c r="R16" i="29"/>
  <c r="M31" i="10" s="1"/>
  <c r="M30" i="10"/>
  <c r="L16" i="29"/>
  <c r="L23" i="10" s="1"/>
  <c r="L22" i="10"/>
  <c r="Q15" i="27"/>
  <c r="I39" i="10" s="1"/>
  <c r="I38" i="10"/>
  <c r="BJ22" i="8"/>
  <c r="AB15" i="10" s="1"/>
  <c r="AB14" i="10"/>
  <c r="AP28" i="6"/>
  <c r="Q41" i="10" s="1"/>
  <c r="AP22" i="8"/>
  <c r="AA39" i="10" s="1"/>
  <c r="AA38" i="10"/>
  <c r="F15" i="27"/>
  <c r="H47" i="10" s="1"/>
  <c r="H46" i="10"/>
  <c r="J15" i="27"/>
  <c r="H31" i="10" s="1"/>
  <c r="H30" i="10"/>
  <c r="W22" i="28"/>
  <c r="K31" i="10" s="1"/>
  <c r="K30" i="10"/>
  <c r="AR26" i="6"/>
  <c r="Q31" i="10" s="1"/>
  <c r="Q30" i="10"/>
  <c r="AI28" i="6"/>
  <c r="P33" i="10" s="1"/>
  <c r="P30" i="10"/>
  <c r="AA8" i="10"/>
  <c r="S15" i="29"/>
  <c r="S16" i="29" s="1"/>
  <c r="D22" i="28"/>
  <c r="J39" i="10" s="1"/>
  <c r="J38" i="10"/>
  <c r="AR22" i="8"/>
  <c r="AA31" i="10" s="1"/>
  <c r="AA30" i="10"/>
  <c r="U8" i="10"/>
  <c r="AV23" i="7"/>
  <c r="V33" i="10" s="1"/>
  <c r="V30" i="10"/>
  <c r="S17" i="29"/>
  <c r="H17" i="29"/>
  <c r="H16" i="29"/>
  <c r="H18" i="29"/>
  <c r="F17" i="29"/>
  <c r="L48" i="10" s="1"/>
  <c r="U17" i="29"/>
  <c r="M48" i="10" s="1"/>
  <c r="F18" i="29"/>
  <c r="L49" i="10" s="1"/>
  <c r="U15" i="29"/>
  <c r="V16" i="29"/>
  <c r="F16" i="29"/>
  <c r="L47" i="10" s="1"/>
  <c r="H23" i="28"/>
  <c r="J48" i="10" s="1"/>
  <c r="S23" i="28"/>
  <c r="K48" i="10" s="1"/>
  <c r="S22" i="28"/>
  <c r="K47" i="10" s="1"/>
  <c r="S24" i="28"/>
  <c r="K49" i="10" s="1"/>
  <c r="V22" i="28"/>
  <c r="K23" i="10" s="1"/>
  <c r="V24" i="28"/>
  <c r="K25" i="10" s="1"/>
  <c r="B24" i="28"/>
  <c r="J33" i="10" s="1"/>
  <c r="F21" i="28"/>
  <c r="F22" i="28" s="1"/>
  <c r="H21" i="28"/>
  <c r="I22" i="28"/>
  <c r="I24" i="28"/>
  <c r="U23" i="28"/>
  <c r="F23" i="28"/>
  <c r="U15" i="27"/>
  <c r="I47" i="10" s="1"/>
  <c r="S14" i="27"/>
  <c r="S15" i="27" s="1"/>
  <c r="O17" i="27"/>
  <c r="I33" i="10" s="1"/>
  <c r="F16" i="27"/>
  <c r="H48" i="10" s="1"/>
  <c r="H14" i="27"/>
  <c r="H15" i="27" s="1"/>
  <c r="U17" i="27"/>
  <c r="I49" i="10" s="1"/>
  <c r="U16" i="27"/>
  <c r="I48" i="10" s="1"/>
  <c r="F17" i="27"/>
  <c r="H49" i="10" s="1"/>
  <c r="BH22" i="8"/>
  <c r="AU22" i="8"/>
  <c r="AA47" i="10" s="1"/>
  <c r="AO24" i="8"/>
  <c r="AA17" i="10" s="1"/>
  <c r="BF21" i="8"/>
  <c r="BC24" i="8"/>
  <c r="AB169" i="10" s="1"/>
  <c r="BH24" i="8"/>
  <c r="BH23" i="8"/>
  <c r="BF23" i="8"/>
  <c r="AB48" i="10" s="1"/>
  <c r="BH42" i="8"/>
  <c r="BH44" i="8"/>
  <c r="BH43" i="8"/>
  <c r="BF44" i="8"/>
  <c r="AS23" i="8"/>
  <c r="AP24" i="8"/>
  <c r="AA41" i="10" s="1"/>
  <c r="AS21" i="8"/>
  <c r="AS22" i="8" s="1"/>
  <c r="AU42" i="8"/>
  <c r="AU44" i="8"/>
  <c r="AU43" i="8"/>
  <c r="AS21" i="7"/>
  <c r="V47" i="10" s="1"/>
  <c r="AH21" i="7"/>
  <c r="U47" i="10" s="1"/>
  <c r="AF22" i="7"/>
  <c r="AF23" i="7"/>
  <c r="AY43" i="7"/>
  <c r="V65" i="10" s="1"/>
  <c r="AP43" i="7"/>
  <c r="V169" i="10" s="1"/>
  <c r="AS40" i="7"/>
  <c r="AS41" i="7" s="1"/>
  <c r="AH22" i="7"/>
  <c r="U48" i="10" s="1"/>
  <c r="AH23" i="7"/>
  <c r="U49" i="10" s="1"/>
  <c r="AV21" i="7"/>
  <c r="V31" i="10" s="1"/>
  <c r="AU20" i="7"/>
  <c r="AU21" i="7" s="1"/>
  <c r="AU40" i="7"/>
  <c r="AU41" i="7" s="1"/>
  <c r="AF21" i="7"/>
  <c r="AF41" i="7"/>
  <c r="AS25" i="6"/>
  <c r="AS26" i="6" s="1"/>
  <c r="AF27" i="6"/>
  <c r="P48" i="10" s="1"/>
  <c r="AW28" i="6"/>
  <c r="AO28" i="6"/>
  <c r="Q17" i="10" s="1"/>
  <c r="AF28" i="6"/>
  <c r="P49" i="10" s="1"/>
  <c r="AH50" i="6"/>
  <c r="AU92" i="6"/>
  <c r="BF92" i="6"/>
  <c r="AO50" i="6"/>
  <c r="AS49" i="6"/>
  <c r="AS50" i="6" s="1"/>
  <c r="AF72" i="6"/>
  <c r="AH91" i="6"/>
  <c r="AH92" i="6" s="1"/>
  <c r="AI92" i="6"/>
  <c r="AJ74" i="6"/>
  <c r="AJ72" i="6"/>
  <c r="AF26" i="6"/>
  <c r="P47" i="10" s="1"/>
  <c r="AU27" i="6"/>
  <c r="Q48" i="10" s="1"/>
  <c r="AH25" i="6"/>
  <c r="AH26" i="6" s="1"/>
  <c r="AI26" i="6"/>
  <c r="P31" i="10" s="1"/>
  <c r="AU25" i="6"/>
  <c r="AF93" i="6"/>
  <c r="AF94" i="6"/>
  <c r="AF50" i="6"/>
  <c r="AJ28" i="6"/>
  <c r="P17" i="10" s="1"/>
  <c r="V94" i="10" l="1"/>
  <c r="V95" i="10" s="1"/>
  <c r="V153" i="10"/>
  <c r="U94" i="10"/>
  <c r="U95" i="10" s="1"/>
  <c r="P54" i="10"/>
  <c r="P55" i="10" s="1"/>
  <c r="V57" i="10"/>
  <c r="V150" i="10"/>
  <c r="V151" i="10" s="1"/>
  <c r="U54" i="10"/>
  <c r="U55" i="10" s="1"/>
  <c r="U150" i="10"/>
  <c r="U151" i="10" s="1"/>
  <c r="AA150" i="10"/>
  <c r="AA151" i="10" s="1"/>
  <c r="AB54" i="10"/>
  <c r="AB55" i="10" s="1"/>
  <c r="AA54" i="10"/>
  <c r="AA55" i="10" s="1"/>
  <c r="AS44" i="8"/>
  <c r="AB150" i="10"/>
  <c r="AB151" i="10" s="1"/>
  <c r="AB57" i="10"/>
  <c r="AA57" i="10"/>
  <c r="AB153" i="10"/>
  <c r="Q150" i="10"/>
  <c r="Q151" i="10" s="1"/>
  <c r="P150" i="10"/>
  <c r="P151" i="10" s="1"/>
  <c r="V9" i="10"/>
  <c r="V6" i="10"/>
  <c r="V7" i="10" s="1"/>
  <c r="V54" i="10"/>
  <c r="V55" i="10" s="1"/>
  <c r="U7" i="10"/>
  <c r="P9" i="10"/>
  <c r="Q9" i="10"/>
  <c r="AB6" i="10"/>
  <c r="AB7" i="10" s="1"/>
  <c r="U16" i="29"/>
  <c r="M47" i="10" s="1"/>
  <c r="M46" i="10"/>
  <c r="AA6" i="10"/>
  <c r="AA7" i="10" s="1"/>
  <c r="U24" i="28"/>
  <c r="S18" i="29"/>
  <c r="Q6" i="10"/>
  <c r="Q7" i="10" s="1"/>
  <c r="BF22" i="8"/>
  <c r="AB47" i="10" s="1"/>
  <c r="AB46" i="10"/>
  <c r="AU26" i="6"/>
  <c r="Q47" i="10" s="1"/>
  <c r="Q46" i="10"/>
  <c r="AA9" i="10"/>
  <c r="H22" i="28"/>
  <c r="J47" i="10" s="1"/>
  <c r="J46" i="10"/>
  <c r="P6" i="10"/>
  <c r="P7" i="10" s="1"/>
  <c r="U18" i="29"/>
  <c r="M49" i="10" s="1"/>
  <c r="H24" i="28"/>
  <c r="J49" i="10" s="1"/>
  <c r="F24" i="28"/>
  <c r="S17" i="27"/>
  <c r="H17" i="27"/>
  <c r="AS24" i="8"/>
  <c r="BF24" i="8"/>
  <c r="AB49" i="10" s="1"/>
  <c r="AU28" i="6"/>
  <c r="Q49" i="10" s="1"/>
  <c r="D13" i="17"/>
  <c r="K54" i="18" l="1"/>
  <c r="K53" i="18"/>
  <c r="K52" i="18"/>
  <c r="F54" i="18"/>
  <c r="F53" i="18"/>
  <c r="F52" i="18"/>
  <c r="K57" i="18" l="1"/>
  <c r="F55" i="18"/>
  <c r="K56" i="18"/>
  <c r="K55" i="18"/>
  <c r="F57" i="18"/>
  <c r="F56" i="18"/>
  <c r="AI55" i="19" l="1"/>
  <c r="AI56" i="19" s="1"/>
  <c r="AI57" i="19" s="1"/>
  <c r="AH55" i="19"/>
  <c r="AH56" i="19" s="1"/>
  <c r="AH57" i="19" s="1"/>
  <c r="AG55" i="19"/>
  <c r="AG56" i="19" s="1"/>
  <c r="AG57" i="19" s="1"/>
  <c r="AF55" i="19"/>
  <c r="AD55" i="19"/>
  <c r="AD56" i="19" s="1"/>
  <c r="AC55" i="19"/>
  <c r="AC56" i="19" s="1"/>
  <c r="AB55" i="19"/>
  <c r="AB56" i="19" s="1"/>
  <c r="AA55" i="19"/>
  <c r="Y55" i="19"/>
  <c r="Y56" i="19" s="1"/>
  <c r="X55" i="19"/>
  <c r="X56" i="19" s="1"/>
  <c r="W55" i="19"/>
  <c r="W56" i="19" s="1"/>
  <c r="V55" i="19"/>
  <c r="AI54" i="19"/>
  <c r="AH54" i="19"/>
  <c r="AG54" i="19"/>
  <c r="AF54" i="19"/>
  <c r="AD54" i="19"/>
  <c r="AC54" i="19"/>
  <c r="AB54" i="19"/>
  <c r="AA54" i="19"/>
  <c r="Y54" i="19"/>
  <c r="X54" i="19"/>
  <c r="W54" i="19"/>
  <c r="V54" i="19"/>
  <c r="T55" i="19"/>
  <c r="T56" i="19" s="1"/>
  <c r="T57" i="19" s="1"/>
  <c r="S55" i="19"/>
  <c r="S56" i="19" s="1"/>
  <c r="S57" i="19" s="1"/>
  <c r="R55" i="19"/>
  <c r="R56" i="19" s="1"/>
  <c r="R57" i="19" s="1"/>
  <c r="Q55" i="19"/>
  <c r="T54" i="19"/>
  <c r="S54" i="19"/>
  <c r="R54" i="19"/>
  <c r="Q54" i="19"/>
  <c r="O55" i="19"/>
  <c r="O56" i="19" s="1"/>
  <c r="O57" i="19" s="1"/>
  <c r="N55" i="19"/>
  <c r="N56" i="19" s="1"/>
  <c r="N57" i="19" s="1"/>
  <c r="M55" i="19"/>
  <c r="M56" i="19" s="1"/>
  <c r="M57" i="19" s="1"/>
  <c r="L55" i="19"/>
  <c r="O54" i="19"/>
  <c r="N54" i="19"/>
  <c r="M54" i="19"/>
  <c r="L54" i="19"/>
  <c r="J55" i="19"/>
  <c r="J56" i="19" s="1"/>
  <c r="I55" i="19"/>
  <c r="I56" i="19" s="1"/>
  <c r="H55" i="19"/>
  <c r="H56" i="19" s="1"/>
  <c r="G55" i="19"/>
  <c r="J54" i="19"/>
  <c r="I54" i="19"/>
  <c r="H54" i="19"/>
  <c r="G54" i="19"/>
  <c r="B55" i="19"/>
  <c r="B54" i="19"/>
  <c r="F54" i="19" s="1"/>
  <c r="T70" i="19" l="1"/>
  <c r="H72" i="19"/>
  <c r="J72" i="19"/>
  <c r="I72" i="19"/>
  <c r="J70" i="19"/>
  <c r="S70" i="19"/>
  <c r="I70" i="19"/>
  <c r="H70" i="19"/>
  <c r="R70" i="19"/>
  <c r="K54" i="19"/>
  <c r="P54" i="19"/>
  <c r="U54" i="19"/>
  <c r="Z54" i="19"/>
  <c r="AJ54" i="19"/>
  <c r="AA56" i="19"/>
  <c r="AE56" i="19" s="1"/>
  <c r="AE55" i="19"/>
  <c r="N70" i="19"/>
  <c r="G56" i="19"/>
  <c r="G57" i="19" s="1"/>
  <c r="K55" i="19"/>
  <c r="L56" i="19"/>
  <c r="L59" i="19" s="1"/>
  <c r="P55" i="19"/>
  <c r="Q56" i="19"/>
  <c r="Q59" i="19" s="1"/>
  <c r="U55" i="19"/>
  <c r="AE54" i="19"/>
  <c r="V56" i="19"/>
  <c r="Z56" i="19" s="1"/>
  <c r="Z55" i="19"/>
  <c r="AF56" i="19"/>
  <c r="AF59" i="19" s="1"/>
  <c r="AJ55" i="19"/>
  <c r="B56" i="19"/>
  <c r="F56" i="19" s="1"/>
  <c r="F55" i="19"/>
  <c r="O70" i="19"/>
  <c r="J71" i="19"/>
  <c r="E62" i="19"/>
  <c r="M70" i="19"/>
  <c r="L70" i="19"/>
  <c r="O72" i="19"/>
  <c r="S71" i="19"/>
  <c r="T71" i="19"/>
  <c r="V62" i="19"/>
  <c r="Q70" i="19"/>
  <c r="L71" i="19"/>
  <c r="D62" i="19"/>
  <c r="Q71" i="19"/>
  <c r="G70" i="19"/>
  <c r="C62" i="19"/>
  <c r="M72" i="19"/>
  <c r="R71" i="19"/>
  <c r="B63" i="19"/>
  <c r="N72" i="19"/>
  <c r="B62" i="19"/>
  <c r="O58" i="19"/>
  <c r="I71" i="19"/>
  <c r="I73" i="19" s="1"/>
  <c r="M71" i="19"/>
  <c r="R72" i="19"/>
  <c r="Y62" i="19"/>
  <c r="H71" i="19"/>
  <c r="H74" i="19" s="1"/>
  <c r="N71" i="19"/>
  <c r="S72" i="19"/>
  <c r="G71" i="19"/>
  <c r="O71" i="19"/>
  <c r="T72" i="19"/>
  <c r="X62" i="19"/>
  <c r="E64" i="19"/>
  <c r="E63" i="19"/>
  <c r="W62" i="19"/>
  <c r="D64" i="19"/>
  <c r="V63" i="19"/>
  <c r="Y63" i="19"/>
  <c r="D63" i="19"/>
  <c r="C64" i="19"/>
  <c r="C63" i="19"/>
  <c r="W57" i="19"/>
  <c r="W64" i="19"/>
  <c r="X57" i="19"/>
  <c r="X64" i="19"/>
  <c r="Y64" i="19"/>
  <c r="Y57" i="19"/>
  <c r="W63" i="19"/>
  <c r="X63" i="19"/>
  <c r="AI58" i="19"/>
  <c r="M59" i="19"/>
  <c r="N59" i="19"/>
  <c r="S58" i="19"/>
  <c r="S59" i="19"/>
  <c r="N58" i="19"/>
  <c r="T58" i="19"/>
  <c r="M58" i="19"/>
  <c r="T59" i="19"/>
  <c r="Q58" i="19"/>
  <c r="AI59" i="19"/>
  <c r="AG58" i="19"/>
  <c r="AF58" i="19"/>
  <c r="V58" i="19"/>
  <c r="W58" i="19"/>
  <c r="X58" i="19"/>
  <c r="AH58" i="19"/>
  <c r="G58" i="19"/>
  <c r="Y58" i="19"/>
  <c r="H58" i="19"/>
  <c r="R58" i="19"/>
  <c r="B58" i="19"/>
  <c r="W59" i="19"/>
  <c r="I59" i="19"/>
  <c r="I58" i="19"/>
  <c r="X59" i="19"/>
  <c r="AH59" i="19"/>
  <c r="J58" i="19"/>
  <c r="Y59" i="19"/>
  <c r="L58" i="19"/>
  <c r="AA58" i="19"/>
  <c r="AG59" i="19"/>
  <c r="H57" i="19"/>
  <c r="AB58" i="19"/>
  <c r="H59" i="19"/>
  <c r="R59" i="19"/>
  <c r="AC58" i="19"/>
  <c r="AD58" i="19"/>
  <c r="B69" i="18"/>
  <c r="C69" i="18"/>
  <c r="D69" i="18"/>
  <c r="E69" i="18"/>
  <c r="B70" i="18"/>
  <c r="C70" i="18"/>
  <c r="D70" i="18"/>
  <c r="E70" i="18"/>
  <c r="C68" i="18"/>
  <c r="D68" i="18"/>
  <c r="E68" i="18"/>
  <c r="B68" i="18"/>
  <c r="C45" i="18"/>
  <c r="C46" i="18" s="1"/>
  <c r="D45" i="18"/>
  <c r="D46" i="18" s="1"/>
  <c r="E45" i="18"/>
  <c r="E46" i="18" s="1"/>
  <c r="E47" i="18" s="1"/>
  <c r="G45" i="18"/>
  <c r="H45" i="18"/>
  <c r="H46" i="18" s="1"/>
  <c r="H47" i="18" s="1"/>
  <c r="I45" i="18"/>
  <c r="I46" i="18" s="1"/>
  <c r="I47" i="18" s="1"/>
  <c r="J45" i="18"/>
  <c r="L45" i="18"/>
  <c r="M45" i="18"/>
  <c r="N45" i="18"/>
  <c r="O45" i="18"/>
  <c r="Q45" i="18"/>
  <c r="R45" i="18"/>
  <c r="S45" i="18"/>
  <c r="S46" i="18" s="1"/>
  <c r="S47" i="18" s="1"/>
  <c r="T45" i="18"/>
  <c r="T46" i="18" s="1"/>
  <c r="V45" i="18"/>
  <c r="W45" i="18"/>
  <c r="W46" i="18" s="1"/>
  <c r="X45" i="18"/>
  <c r="X46" i="18" s="1"/>
  <c r="X47" i="18" s="1"/>
  <c r="Y45" i="18"/>
  <c r="Y46" i="18" s="1"/>
  <c r="Y47" i="18" s="1"/>
  <c r="AA45" i="18"/>
  <c r="AB45" i="18"/>
  <c r="AB46" i="18" s="1"/>
  <c r="AC45" i="18"/>
  <c r="AC46" i="18" s="1"/>
  <c r="AC47" i="18" s="1"/>
  <c r="AD45" i="18"/>
  <c r="AD46" i="18" s="1"/>
  <c r="AD47" i="18" s="1"/>
  <c r="B45" i="18"/>
  <c r="C44" i="18"/>
  <c r="D44" i="18"/>
  <c r="E44" i="18"/>
  <c r="G44" i="18"/>
  <c r="H44" i="18"/>
  <c r="I44" i="18"/>
  <c r="J44" i="18"/>
  <c r="L44" i="18"/>
  <c r="M44" i="18"/>
  <c r="N44" i="18"/>
  <c r="O44" i="18"/>
  <c r="Q44" i="18"/>
  <c r="R44" i="18"/>
  <c r="S44" i="18"/>
  <c r="T44" i="18"/>
  <c r="V44" i="18"/>
  <c r="W44" i="18"/>
  <c r="X44" i="18"/>
  <c r="Y44" i="18"/>
  <c r="AA44" i="18"/>
  <c r="AB44" i="18"/>
  <c r="AC44" i="18"/>
  <c r="AD44" i="18"/>
  <c r="B44" i="18"/>
  <c r="T74" i="19" l="1"/>
  <c r="J73" i="19"/>
  <c r="K70" i="19"/>
  <c r="S74" i="19"/>
  <c r="J75" i="19"/>
  <c r="K58" i="19"/>
  <c r="O52" i="18"/>
  <c r="O46" i="18"/>
  <c r="O54" i="18" s="1"/>
  <c r="O53" i="18"/>
  <c r="N52" i="18"/>
  <c r="N46" i="18"/>
  <c r="N54" i="18" s="1"/>
  <c r="N53" i="18"/>
  <c r="M46" i="18"/>
  <c r="M53" i="18"/>
  <c r="M52" i="18"/>
  <c r="L52" i="18"/>
  <c r="L53" i="18"/>
  <c r="AD48" i="18"/>
  <c r="AD49" i="18"/>
  <c r="G59" i="19"/>
  <c r="B57" i="19"/>
  <c r="B59" i="19"/>
  <c r="F59" i="19"/>
  <c r="Z58" i="19"/>
  <c r="C71" i="18"/>
  <c r="E73" i="18"/>
  <c r="C72" i="18"/>
  <c r="D71" i="18"/>
  <c r="E71" i="18"/>
  <c r="F68" i="18"/>
  <c r="F58" i="19"/>
  <c r="P58" i="19"/>
  <c r="U70" i="19"/>
  <c r="Z57" i="19"/>
  <c r="M74" i="19"/>
  <c r="U58" i="19"/>
  <c r="AJ58" i="19"/>
  <c r="B64" i="19"/>
  <c r="F64" i="19" s="1"/>
  <c r="V57" i="19"/>
  <c r="Z63" i="19"/>
  <c r="Z62" i="19"/>
  <c r="L57" i="19"/>
  <c r="P56" i="19"/>
  <c r="P57" i="19" s="1"/>
  <c r="F62" i="19"/>
  <c r="L72" i="19"/>
  <c r="P72" i="19" s="1"/>
  <c r="Q72" i="19"/>
  <c r="U72" i="19" s="1"/>
  <c r="AF57" i="19"/>
  <c r="AJ56" i="19"/>
  <c r="AJ57" i="19" s="1"/>
  <c r="AE57" i="19"/>
  <c r="V64" i="19"/>
  <c r="Z64" i="19" s="1"/>
  <c r="G74" i="19"/>
  <c r="K71" i="19"/>
  <c r="U71" i="19"/>
  <c r="N74" i="19"/>
  <c r="G72" i="19"/>
  <c r="K72" i="19" s="1"/>
  <c r="K56" i="19"/>
  <c r="F63" i="19"/>
  <c r="P71" i="19"/>
  <c r="AE59" i="19"/>
  <c r="AE58" i="19"/>
  <c r="Z59" i="19"/>
  <c r="P70" i="19"/>
  <c r="F57" i="19"/>
  <c r="Q57" i="19"/>
  <c r="U56" i="19"/>
  <c r="B71" i="18"/>
  <c r="F70" i="18"/>
  <c r="F69" i="18"/>
  <c r="F44" i="18"/>
  <c r="AE44" i="18"/>
  <c r="U44" i="18"/>
  <c r="K44" i="18"/>
  <c r="V46" i="18"/>
  <c r="Z45" i="18"/>
  <c r="L46" i="18"/>
  <c r="P45" i="18"/>
  <c r="Z44" i="18"/>
  <c r="P44" i="18"/>
  <c r="B46" i="18"/>
  <c r="F46" i="18" s="1"/>
  <c r="F45" i="18"/>
  <c r="AA46" i="18"/>
  <c r="AE45" i="18"/>
  <c r="Q46" i="18"/>
  <c r="Q49" i="18" s="1"/>
  <c r="U45" i="18"/>
  <c r="G46" i="18"/>
  <c r="G47" i="18" s="1"/>
  <c r="K45" i="18"/>
  <c r="R73" i="19"/>
  <c r="J74" i="19"/>
  <c r="T73" i="19"/>
  <c r="S73" i="19"/>
  <c r="O73" i="19"/>
  <c r="S75" i="19"/>
  <c r="O74" i="19"/>
  <c r="N75" i="19"/>
  <c r="R75" i="19"/>
  <c r="I74" i="19"/>
  <c r="M75" i="19"/>
  <c r="L74" i="19"/>
  <c r="I75" i="19"/>
  <c r="O75" i="19"/>
  <c r="N73" i="19"/>
  <c r="E48" i="18"/>
  <c r="R53" i="18"/>
  <c r="H61" i="18" s="1"/>
  <c r="L68" i="18"/>
  <c r="H75" i="19"/>
  <c r="H73" i="19"/>
  <c r="M73" i="19"/>
  <c r="Q74" i="19"/>
  <c r="R74" i="19"/>
  <c r="T75" i="19"/>
  <c r="AB59" i="19"/>
  <c r="V59" i="19"/>
  <c r="Y66" i="19"/>
  <c r="I57" i="19"/>
  <c r="AB57" i="19"/>
  <c r="W66" i="19"/>
  <c r="X66" i="19"/>
  <c r="AD57" i="19"/>
  <c r="AC57" i="19"/>
  <c r="J57" i="19"/>
  <c r="C65" i="19"/>
  <c r="AA57" i="19"/>
  <c r="AA59" i="19"/>
  <c r="V66" i="19"/>
  <c r="J59" i="19"/>
  <c r="AD59" i="19"/>
  <c r="Q48" i="18"/>
  <c r="Y48" i="18"/>
  <c r="O68" i="18"/>
  <c r="T52" i="18"/>
  <c r="J60" i="18" s="1"/>
  <c r="S52" i="18"/>
  <c r="I60" i="18" s="1"/>
  <c r="M68" i="18"/>
  <c r="O69" i="18"/>
  <c r="N69" i="18"/>
  <c r="N68" i="18"/>
  <c r="M69" i="18"/>
  <c r="T54" i="18"/>
  <c r="J62" i="18" s="1"/>
  <c r="L69" i="18"/>
  <c r="S54" i="18"/>
  <c r="R52" i="18"/>
  <c r="H60" i="18" s="1"/>
  <c r="L48" i="18"/>
  <c r="S53" i="18"/>
  <c r="I61" i="18" s="1"/>
  <c r="D73" i="18"/>
  <c r="B73" i="18"/>
  <c r="B72" i="18"/>
  <c r="C73" i="18"/>
  <c r="D72" i="18"/>
  <c r="E72" i="18"/>
  <c r="T53" i="18"/>
  <c r="Q53" i="18"/>
  <c r="Q52" i="18"/>
  <c r="S48" i="18"/>
  <c r="AB48" i="18"/>
  <c r="T49" i="18"/>
  <c r="N48" i="18"/>
  <c r="D48" i="18"/>
  <c r="M48" i="18"/>
  <c r="C48" i="18"/>
  <c r="T48" i="18"/>
  <c r="D49" i="18"/>
  <c r="AB49" i="18"/>
  <c r="I48" i="18"/>
  <c r="C49" i="18"/>
  <c r="B48" i="18"/>
  <c r="AC49" i="18"/>
  <c r="N49" i="18"/>
  <c r="AA48" i="18"/>
  <c r="R48" i="18"/>
  <c r="H49" i="18"/>
  <c r="E49" i="18"/>
  <c r="X48" i="18"/>
  <c r="C47" i="18"/>
  <c r="S49" i="18"/>
  <c r="V48" i="18"/>
  <c r="AC48" i="18"/>
  <c r="H48" i="18"/>
  <c r="J48" i="18"/>
  <c r="W47" i="18"/>
  <c r="W49" i="18"/>
  <c r="I49" i="18"/>
  <c r="W48" i="18"/>
  <c r="O48" i="18"/>
  <c r="G48" i="18"/>
  <c r="AB47" i="18"/>
  <c r="T47" i="18"/>
  <c r="D47" i="18"/>
  <c r="R46" i="18"/>
  <c r="R54" i="18" s="1"/>
  <c r="J46" i="18"/>
  <c r="O70" i="18" l="1"/>
  <c r="N70" i="18"/>
  <c r="O49" i="18"/>
  <c r="N47" i="18"/>
  <c r="O47" i="18"/>
  <c r="G75" i="19"/>
  <c r="K74" i="19"/>
  <c r="G73" i="19"/>
  <c r="M47" i="18"/>
  <c r="M54" i="18"/>
  <c r="R70" i="18" s="1"/>
  <c r="M49" i="18"/>
  <c r="P46" i="18"/>
  <c r="P49" i="18" s="1"/>
  <c r="L54" i="18"/>
  <c r="U74" i="19"/>
  <c r="B65" i="19"/>
  <c r="F65" i="19"/>
  <c r="AJ59" i="19"/>
  <c r="L47" i="18"/>
  <c r="G49" i="18"/>
  <c r="N71" i="18"/>
  <c r="F72" i="18"/>
  <c r="Q54" i="18"/>
  <c r="Q57" i="18" s="1"/>
  <c r="F73" i="18"/>
  <c r="P59" i="19"/>
  <c r="L49" i="18"/>
  <c r="L73" i="19"/>
  <c r="L75" i="19"/>
  <c r="K73" i="19"/>
  <c r="U57" i="19"/>
  <c r="U59" i="19"/>
  <c r="F67" i="19"/>
  <c r="F66" i="19"/>
  <c r="Q73" i="19"/>
  <c r="Q75" i="19"/>
  <c r="Z65" i="19"/>
  <c r="K75" i="19"/>
  <c r="P75" i="19"/>
  <c r="P74" i="19"/>
  <c r="K57" i="19"/>
  <c r="K59" i="19"/>
  <c r="Z67" i="19"/>
  <c r="Z66" i="19"/>
  <c r="U75" i="19"/>
  <c r="U73" i="19"/>
  <c r="P73" i="19"/>
  <c r="F47" i="18"/>
  <c r="F71" i="18"/>
  <c r="B47" i="18"/>
  <c r="B49" i="18"/>
  <c r="AA47" i="18"/>
  <c r="AE46" i="18"/>
  <c r="AE47" i="18" s="1"/>
  <c r="V47" i="18"/>
  <c r="Z46" i="18"/>
  <c r="Z47" i="18" s="1"/>
  <c r="P68" i="18"/>
  <c r="N56" i="18"/>
  <c r="P48" i="18"/>
  <c r="K48" i="18"/>
  <c r="K46" i="18"/>
  <c r="K47" i="18" s="1"/>
  <c r="Z48" i="18"/>
  <c r="U48" i="18"/>
  <c r="G60" i="18"/>
  <c r="K60" i="18" s="1"/>
  <c r="U52" i="18"/>
  <c r="P69" i="18"/>
  <c r="L70" i="18"/>
  <c r="L71" i="18" s="1"/>
  <c r="AE48" i="18"/>
  <c r="V49" i="18"/>
  <c r="B60" i="18"/>
  <c r="P52" i="18"/>
  <c r="Q47" i="18"/>
  <c r="U46" i="18"/>
  <c r="U47" i="18" s="1"/>
  <c r="F49" i="18"/>
  <c r="F48" i="18"/>
  <c r="AA49" i="18"/>
  <c r="P53" i="18"/>
  <c r="G61" i="18"/>
  <c r="U53" i="18"/>
  <c r="O72" i="18"/>
  <c r="T56" i="18"/>
  <c r="M72" i="18"/>
  <c r="M56" i="18"/>
  <c r="O73" i="18"/>
  <c r="N72" i="18"/>
  <c r="C66" i="19"/>
  <c r="C67" i="19"/>
  <c r="B66" i="19"/>
  <c r="B67" i="19"/>
  <c r="D65" i="19"/>
  <c r="E65" i="19"/>
  <c r="D66" i="19"/>
  <c r="E66" i="19"/>
  <c r="S56" i="18"/>
  <c r="S57" i="18"/>
  <c r="I64" i="18"/>
  <c r="T69" i="18"/>
  <c r="E61" i="18"/>
  <c r="M70" i="18"/>
  <c r="M71" i="18" s="1"/>
  <c r="O55" i="18"/>
  <c r="E62" i="18"/>
  <c r="T70" i="18"/>
  <c r="N73" i="18"/>
  <c r="S55" i="18"/>
  <c r="I62" i="18"/>
  <c r="I63" i="18" s="1"/>
  <c r="R55" i="18"/>
  <c r="H62" i="18"/>
  <c r="H63" i="18" s="1"/>
  <c r="R56" i="18"/>
  <c r="R68" i="18"/>
  <c r="C60" i="18"/>
  <c r="D61" i="18"/>
  <c r="S69" i="18"/>
  <c r="N55" i="18"/>
  <c r="D62" i="18"/>
  <c r="S70" i="18"/>
  <c r="Q69" i="18"/>
  <c r="B61" i="18"/>
  <c r="T68" i="18"/>
  <c r="E60" i="18"/>
  <c r="S68" i="18"/>
  <c r="D60" i="18"/>
  <c r="C62" i="18"/>
  <c r="O71" i="18"/>
  <c r="Q68" i="18"/>
  <c r="H64" i="18"/>
  <c r="M55" i="18"/>
  <c r="R69" i="18"/>
  <c r="C61" i="18"/>
  <c r="T57" i="18"/>
  <c r="J61" i="18"/>
  <c r="L72" i="18"/>
  <c r="Q56" i="18"/>
  <c r="T55" i="18"/>
  <c r="L56" i="18"/>
  <c r="O57" i="18"/>
  <c r="O56" i="18"/>
  <c r="N57" i="18"/>
  <c r="R57" i="18"/>
  <c r="J47" i="18"/>
  <c r="J49" i="18"/>
  <c r="R47" i="18"/>
  <c r="R49" i="18"/>
  <c r="Y18" i="12"/>
  <c r="X18" i="12"/>
  <c r="S18" i="12"/>
  <c r="P54" i="18" l="1"/>
  <c r="M57" i="18"/>
  <c r="P47" i="18"/>
  <c r="U54" i="18"/>
  <c r="U57" i="18" s="1"/>
  <c r="B62" i="18"/>
  <c r="F62" i="18" s="1"/>
  <c r="L55" i="18"/>
  <c r="G62" i="18"/>
  <c r="G63" i="18" s="1"/>
  <c r="Q55" i="18"/>
  <c r="L57" i="18"/>
  <c r="L73" i="18"/>
  <c r="Q70" i="18"/>
  <c r="Q71" i="18" s="1"/>
  <c r="U49" i="18"/>
  <c r="K49" i="18"/>
  <c r="P57" i="18"/>
  <c r="AE49" i="18"/>
  <c r="Z49" i="18"/>
  <c r="G64" i="18"/>
  <c r="U68" i="18"/>
  <c r="B64" i="18"/>
  <c r="F61" i="18"/>
  <c r="P56" i="18"/>
  <c r="U56" i="18"/>
  <c r="P55" i="18"/>
  <c r="U69" i="18"/>
  <c r="K61" i="18"/>
  <c r="K64" i="18" s="1"/>
  <c r="F60" i="18"/>
  <c r="P72" i="18"/>
  <c r="P70" i="18"/>
  <c r="P71" i="18" s="1"/>
  <c r="E67" i="19"/>
  <c r="D67" i="19"/>
  <c r="V65" i="19"/>
  <c r="V67" i="19"/>
  <c r="X65" i="19"/>
  <c r="X67" i="19"/>
  <c r="Y65" i="19"/>
  <c r="Y67" i="19"/>
  <c r="W65" i="19"/>
  <c r="W67" i="19"/>
  <c r="R71" i="18"/>
  <c r="D63" i="18"/>
  <c r="J65" i="18"/>
  <c r="J64" i="18"/>
  <c r="J63" i="18"/>
  <c r="E65" i="18"/>
  <c r="E64" i="18"/>
  <c r="C63" i="18"/>
  <c r="C65" i="18"/>
  <c r="C64" i="18"/>
  <c r="R72" i="18"/>
  <c r="R73" i="18"/>
  <c r="Q72" i="18"/>
  <c r="D65" i="18"/>
  <c r="D64" i="18"/>
  <c r="T71" i="18"/>
  <c r="T73" i="18"/>
  <c r="T72" i="18"/>
  <c r="M73" i="18"/>
  <c r="H65" i="18"/>
  <c r="S72" i="18"/>
  <c r="S73" i="18"/>
  <c r="S71" i="18"/>
  <c r="E63" i="18"/>
  <c r="I65" i="18"/>
  <c r="Y4" i="17"/>
  <c r="Y16" i="17"/>
  <c r="Y19" i="17"/>
  <c r="Y21" i="17"/>
  <c r="Y28" i="17"/>
  <c r="Y41" i="17"/>
  <c r="S4" i="17"/>
  <c r="S16" i="17"/>
  <c r="S18" i="17"/>
  <c r="S19" i="17"/>
  <c r="S21" i="17"/>
  <c r="S28" i="17"/>
  <c r="S41" i="17"/>
  <c r="O4" i="17"/>
  <c r="O16" i="17"/>
  <c r="O18" i="17"/>
  <c r="O19" i="17"/>
  <c r="O21" i="17"/>
  <c r="O28" i="17"/>
  <c r="O41" i="17"/>
  <c r="F19" i="17"/>
  <c r="F28" i="17"/>
  <c r="AA41" i="17"/>
  <c r="Z41" i="17"/>
  <c r="X41" i="17"/>
  <c r="W41" i="17"/>
  <c r="V41" i="17"/>
  <c r="R41" i="17"/>
  <c r="Q41" i="17"/>
  <c r="P41" i="17"/>
  <c r="N41" i="17"/>
  <c r="AC40" i="12"/>
  <c r="N40" i="12"/>
  <c r="U55" i="18" l="1"/>
  <c r="B65" i="18"/>
  <c r="B63" i="18"/>
  <c r="U70" i="18"/>
  <c r="U71" i="18" s="1"/>
  <c r="Q73" i="18"/>
  <c r="G65" i="18"/>
  <c r="K62" i="18"/>
  <c r="K65" i="18" s="1"/>
  <c r="U72" i="18"/>
  <c r="F63" i="18"/>
  <c r="F64" i="18"/>
  <c r="F65" i="18"/>
  <c r="P73" i="18"/>
  <c r="K63" i="18" l="1"/>
  <c r="U73" i="18"/>
  <c r="AB40" i="12"/>
  <c r="AA40" i="12"/>
  <c r="Y40" i="12"/>
  <c r="Z40" i="12"/>
  <c r="X40" i="12"/>
  <c r="W40" i="12"/>
  <c r="V40" i="12"/>
  <c r="U40" i="12"/>
  <c r="T40" i="12"/>
  <c r="S40" i="12"/>
  <c r="R40" i="12"/>
  <c r="Q40" i="12"/>
  <c r="L28" i="17" l="1"/>
  <c r="B4" i="12"/>
  <c r="C4" i="12"/>
  <c r="D4" i="12"/>
  <c r="E4" i="12"/>
  <c r="B15" i="12"/>
  <c r="C15" i="12"/>
  <c r="D15" i="12"/>
  <c r="E15" i="12"/>
  <c r="B17" i="12"/>
  <c r="C17" i="12"/>
  <c r="D17" i="12"/>
  <c r="E17" i="12"/>
  <c r="B18" i="12"/>
  <c r="C18" i="12"/>
  <c r="D18" i="12"/>
  <c r="E18" i="12"/>
  <c r="B20" i="12"/>
  <c r="C20" i="12"/>
  <c r="D20" i="12"/>
  <c r="E20" i="12"/>
  <c r="B27" i="12"/>
  <c r="C27" i="12"/>
  <c r="D27" i="12"/>
  <c r="E27" i="12"/>
  <c r="G18" i="12" l="1"/>
  <c r="J18" i="12" s="1"/>
  <c r="G4" i="12"/>
  <c r="J4" i="12" s="1"/>
  <c r="AA4" i="12"/>
  <c r="AA15" i="12"/>
  <c r="AA17" i="12"/>
  <c r="AA18" i="12"/>
  <c r="AA20" i="12"/>
  <c r="AA27" i="12"/>
  <c r="AB4" i="12"/>
  <c r="AB15" i="12"/>
  <c r="AB17" i="12"/>
  <c r="AB20" i="12"/>
  <c r="AB27" i="12"/>
  <c r="Y4" i="12"/>
  <c r="Y15" i="12"/>
  <c r="Y17" i="12"/>
  <c r="Y20" i="12"/>
  <c r="Y27" i="12"/>
  <c r="V4" i="12"/>
  <c r="V15" i="12"/>
  <c r="V17" i="12"/>
  <c r="V18" i="12"/>
  <c r="V20" i="12"/>
  <c r="V27" i="12"/>
  <c r="Z4" i="12"/>
  <c r="Z15" i="12"/>
  <c r="Z17" i="12"/>
  <c r="Z18" i="12"/>
  <c r="Z20" i="12"/>
  <c r="Z27" i="12"/>
  <c r="U4" i="12"/>
  <c r="U15" i="12"/>
  <c r="U17" i="12"/>
  <c r="U18" i="12"/>
  <c r="U20" i="12"/>
  <c r="U27" i="12"/>
  <c r="W4" i="12"/>
  <c r="W15" i="12"/>
  <c r="W17" i="12"/>
  <c r="W18" i="12"/>
  <c r="W20" i="12"/>
  <c r="W27" i="12"/>
  <c r="K4" i="12" l="1"/>
  <c r="L4" i="12"/>
  <c r="I4" i="12"/>
  <c r="K18" i="12"/>
  <c r="L18" i="12"/>
  <c r="I18" i="12"/>
  <c r="AC516" i="10"/>
  <c r="BI9" i="17" s="1"/>
  <c r="BI10" i="17" l="1"/>
  <c r="AC558" i="10"/>
  <c r="BM24" i="17" s="1"/>
  <c r="BM26" i="17" s="1"/>
  <c r="AC557" i="10"/>
  <c r="BM38" i="17" s="1"/>
  <c r="AC556" i="10"/>
  <c r="BM9" i="17" s="1"/>
  <c r="AC542" i="10"/>
  <c r="BK24" i="17" s="1"/>
  <c r="AC541" i="10"/>
  <c r="BK38" i="17" s="1"/>
  <c r="AC540" i="10"/>
  <c r="BK9" i="17" s="1"/>
  <c r="AC525" i="10"/>
  <c r="BJ38" i="17" s="1"/>
  <c r="AC524" i="10"/>
  <c r="BJ9" i="17" s="1"/>
  <c r="AC517" i="10"/>
  <c r="BI38" i="17" s="1"/>
  <c r="BK11" i="17" l="1"/>
  <c r="BK10" i="17"/>
  <c r="BK32" i="17"/>
  <c r="BK36" i="17"/>
  <c r="BK34" i="17"/>
  <c r="BK37" i="17" s="1"/>
  <c r="BK23" i="17"/>
  <c r="BK12" i="17" s="1"/>
  <c r="BK26" i="17"/>
  <c r="BK25" i="17"/>
  <c r="BM10" i="17"/>
  <c r="BM11" i="17"/>
  <c r="BM25" i="17"/>
  <c r="BM36" i="17"/>
  <c r="BM23" i="17"/>
  <c r="BM12" i="17" s="1"/>
  <c r="BM34" i="17"/>
  <c r="BM32" i="17"/>
  <c r="BI36" i="17"/>
  <c r="BI32" i="17"/>
  <c r="BI34" i="17"/>
  <c r="BJ10" i="17"/>
  <c r="BJ11" i="17"/>
  <c r="BI11" i="17"/>
  <c r="BJ32" i="17"/>
  <c r="BJ36" i="17"/>
  <c r="BJ34" i="17"/>
  <c r="AC545" i="10"/>
  <c r="AC520" i="10"/>
  <c r="AC561" i="10"/>
  <c r="AC543" i="10"/>
  <c r="AC559" i="10"/>
  <c r="AC560" i="10"/>
  <c r="AC544" i="10"/>
  <c r="AC528" i="10"/>
  <c r="BK13" i="17" l="1"/>
  <c r="BJ37" i="17"/>
  <c r="BM13" i="17"/>
  <c r="BM37" i="17"/>
  <c r="BI37" i="17"/>
  <c r="Q28" i="17"/>
  <c r="P28" i="17"/>
  <c r="N28" i="17"/>
  <c r="Q21" i="17"/>
  <c r="P21" i="17"/>
  <c r="N21" i="17"/>
  <c r="Q19" i="17"/>
  <c r="P19" i="17"/>
  <c r="N19" i="17"/>
  <c r="Q18" i="17"/>
  <c r="P18" i="17"/>
  <c r="N18" i="17"/>
  <c r="Q16" i="17"/>
  <c r="P16" i="17"/>
  <c r="N16" i="17"/>
  <c r="Q4" i="17"/>
  <c r="P4" i="17"/>
  <c r="N4" i="17"/>
  <c r="W28" i="17" l="1"/>
  <c r="V28" i="17"/>
  <c r="R28" i="17"/>
  <c r="W21" i="17"/>
  <c r="V21" i="17"/>
  <c r="R21" i="17"/>
  <c r="W19" i="17"/>
  <c r="V19" i="17"/>
  <c r="R19" i="17"/>
  <c r="W18" i="17"/>
  <c r="V18" i="17"/>
  <c r="R18" i="17"/>
  <c r="W16" i="17"/>
  <c r="V16" i="17"/>
  <c r="R16" i="17"/>
  <c r="W4" i="17"/>
  <c r="V4" i="17"/>
  <c r="R4" i="17"/>
  <c r="AA28" i="17"/>
  <c r="Z28" i="17"/>
  <c r="X28" i="17"/>
  <c r="AA21" i="17"/>
  <c r="Z21" i="17"/>
  <c r="X21" i="17"/>
  <c r="AA19" i="17"/>
  <c r="Z19" i="17"/>
  <c r="X19" i="17"/>
  <c r="X18" i="17"/>
  <c r="AA16" i="17"/>
  <c r="Z16" i="17"/>
  <c r="X16" i="17"/>
  <c r="AA4" i="17"/>
  <c r="Z4" i="17"/>
  <c r="X4" i="17"/>
  <c r="I28" i="17"/>
  <c r="C28" i="17"/>
  <c r="I19" i="17"/>
  <c r="DX19" i="17" l="1"/>
  <c r="DS19" i="17"/>
  <c r="DR19" i="17"/>
  <c r="DT19" i="17"/>
  <c r="DV19" i="17"/>
  <c r="DY19" i="17"/>
  <c r="EA19" i="17"/>
  <c r="DW19" i="17"/>
  <c r="DZ19" i="17"/>
  <c r="DU19" i="17"/>
  <c r="X4" i="12"/>
  <c r="X15" i="12"/>
  <c r="X17" i="12"/>
  <c r="X20" i="12"/>
  <c r="X27" i="12"/>
  <c r="T4" i="12"/>
  <c r="T15" i="12"/>
  <c r="T17" i="12"/>
  <c r="T18" i="12"/>
  <c r="T20" i="12"/>
  <c r="T27" i="12"/>
  <c r="S4" i="12"/>
  <c r="S15" i="12"/>
  <c r="S17" i="12"/>
  <c r="S20" i="12"/>
  <c r="S27" i="12"/>
  <c r="R4" i="12"/>
  <c r="R15" i="12"/>
  <c r="R17" i="12"/>
  <c r="R18" i="12"/>
  <c r="R20" i="12"/>
  <c r="R27" i="12"/>
  <c r="Q27" i="12"/>
  <c r="Q20" i="12"/>
  <c r="Q17" i="12"/>
  <c r="Q18" i="12"/>
  <c r="Q15" i="12"/>
  <c r="Q4" i="12"/>
  <c r="S118" i="6"/>
  <c r="U118" i="6"/>
  <c r="S119" i="6"/>
  <c r="U119" i="6"/>
  <c r="S120" i="6"/>
  <c r="U120" i="6"/>
  <c r="S121" i="6"/>
  <c r="U121" i="6"/>
  <c r="S122" i="6"/>
  <c r="U122" i="6"/>
  <c r="S123" i="6"/>
  <c r="U123" i="6"/>
  <c r="S124" i="6"/>
  <c r="U124" i="6"/>
  <c r="S125" i="6"/>
  <c r="U125" i="6"/>
  <c r="S126" i="6"/>
  <c r="U126" i="6"/>
  <c r="S127" i="6"/>
  <c r="U127" i="6"/>
  <c r="U117" i="6"/>
  <c r="F118" i="6"/>
  <c r="H118" i="6"/>
  <c r="F119" i="6"/>
  <c r="H119" i="6"/>
  <c r="F120" i="6"/>
  <c r="H120" i="6"/>
  <c r="F121" i="6"/>
  <c r="H121" i="6"/>
  <c r="F122" i="6"/>
  <c r="H122" i="6"/>
  <c r="F123" i="6"/>
  <c r="H123" i="6"/>
  <c r="H117" i="6"/>
  <c r="F117" i="6"/>
  <c r="Y130" i="6"/>
  <c r="X130" i="6"/>
  <c r="W130" i="6"/>
  <c r="V130" i="6"/>
  <c r="R130" i="6"/>
  <c r="Q130" i="6"/>
  <c r="P130" i="6"/>
  <c r="O130" i="6"/>
  <c r="L130" i="6"/>
  <c r="K130" i="6"/>
  <c r="J130" i="6"/>
  <c r="I130" i="6"/>
  <c r="E130" i="6"/>
  <c r="D130" i="6"/>
  <c r="C130" i="6"/>
  <c r="B130" i="6"/>
  <c r="Y129" i="6"/>
  <c r="X129" i="6"/>
  <c r="W129" i="6"/>
  <c r="V129" i="6"/>
  <c r="R129" i="6"/>
  <c r="Q129" i="6"/>
  <c r="P129" i="6"/>
  <c r="O129" i="6"/>
  <c r="L129" i="6"/>
  <c r="K129" i="6"/>
  <c r="J129" i="6"/>
  <c r="I129" i="6"/>
  <c r="E129" i="6"/>
  <c r="D129" i="6"/>
  <c r="C129" i="6"/>
  <c r="B129" i="6"/>
  <c r="S100" i="6"/>
  <c r="U100" i="6"/>
  <c r="S101" i="6"/>
  <c r="U101" i="6"/>
  <c r="S102" i="6"/>
  <c r="U102" i="6"/>
  <c r="S103" i="6"/>
  <c r="U103" i="6"/>
  <c r="S104" i="6"/>
  <c r="U104" i="6"/>
  <c r="S105" i="6"/>
  <c r="U105" i="6"/>
  <c r="U99" i="6"/>
  <c r="S99" i="6"/>
  <c r="F100" i="6"/>
  <c r="H100" i="6"/>
  <c r="F101" i="6"/>
  <c r="H101" i="6"/>
  <c r="F102" i="6"/>
  <c r="H102" i="6"/>
  <c r="F103" i="6"/>
  <c r="H103" i="6"/>
  <c r="F104" i="6"/>
  <c r="H104" i="6"/>
  <c r="H99" i="6"/>
  <c r="F99" i="6"/>
  <c r="Y108" i="6"/>
  <c r="X108" i="6"/>
  <c r="W108" i="6"/>
  <c r="V108" i="6"/>
  <c r="R108" i="6"/>
  <c r="Q108" i="6"/>
  <c r="P108" i="6"/>
  <c r="O108" i="6"/>
  <c r="L108" i="6"/>
  <c r="K108" i="6"/>
  <c r="J108" i="6"/>
  <c r="I108" i="6"/>
  <c r="E108" i="6"/>
  <c r="D108" i="6"/>
  <c r="C108" i="6"/>
  <c r="B108" i="6"/>
  <c r="Y107" i="6"/>
  <c r="X107" i="6"/>
  <c r="W107" i="6"/>
  <c r="V107" i="6"/>
  <c r="R107" i="6"/>
  <c r="Q107" i="6"/>
  <c r="P107" i="6"/>
  <c r="O107" i="6"/>
  <c r="L107" i="6"/>
  <c r="K107" i="6"/>
  <c r="J107" i="6"/>
  <c r="I107" i="6"/>
  <c r="E107" i="6"/>
  <c r="D107" i="6"/>
  <c r="C107" i="6"/>
  <c r="B107" i="6"/>
  <c r="DP19" i="17" l="1"/>
  <c r="DJ19" i="17"/>
  <c r="DL19" i="17"/>
  <c r="DM19" i="17"/>
  <c r="DO19" i="17"/>
  <c r="DK19" i="17"/>
  <c r="DQ19" i="17"/>
  <c r="DN19" i="17"/>
  <c r="DD19" i="17"/>
  <c r="CV19" i="17"/>
  <c r="CN19" i="17"/>
  <c r="CF19" i="17"/>
  <c r="DC19" i="17"/>
  <c r="CU19" i="17"/>
  <c r="CM19" i="17"/>
  <c r="CE19" i="17"/>
  <c r="DB19" i="17"/>
  <c r="CT19" i="17"/>
  <c r="CL19" i="17"/>
  <c r="CD19" i="17"/>
  <c r="DI19" i="17"/>
  <c r="DA19" i="17"/>
  <c r="CS19" i="17"/>
  <c r="CC19" i="17"/>
  <c r="DH19" i="17"/>
  <c r="CZ19" i="17"/>
  <c r="CR19" i="17"/>
  <c r="CJ19" i="17"/>
  <c r="CB19" i="17"/>
  <c r="CG19" i="17"/>
  <c r="DG19" i="17"/>
  <c r="CY19" i="17"/>
  <c r="CQ19" i="17"/>
  <c r="CI19" i="17"/>
  <c r="CA19" i="17"/>
  <c r="CW19" i="17"/>
  <c r="DF19" i="17"/>
  <c r="CX19" i="17"/>
  <c r="CP19" i="17"/>
  <c r="CH19" i="17"/>
  <c r="BZ19" i="17"/>
  <c r="DE19" i="17"/>
  <c r="CO19" i="17"/>
  <c r="CK19" i="17"/>
  <c r="G100" i="6"/>
  <c r="T100" i="6"/>
  <c r="H129" i="6"/>
  <c r="R111" i="6"/>
  <c r="E109" i="6"/>
  <c r="R109" i="6"/>
  <c r="J131" i="6"/>
  <c r="J134" i="6" s="1"/>
  <c r="W131" i="6"/>
  <c r="W134" i="6" s="1"/>
  <c r="I109" i="6"/>
  <c r="K131" i="6"/>
  <c r="K134" i="6" s="1"/>
  <c r="X131" i="6"/>
  <c r="X134" i="6" s="1"/>
  <c r="Q109" i="6"/>
  <c r="J109" i="6"/>
  <c r="J112" i="6" s="1"/>
  <c r="W109" i="6"/>
  <c r="W112" i="6" s="1"/>
  <c r="Y131" i="6"/>
  <c r="S129" i="6"/>
  <c r="K109" i="6"/>
  <c r="O133" i="6"/>
  <c r="B131" i="6"/>
  <c r="O131" i="6"/>
  <c r="O134" i="6" s="1"/>
  <c r="U129" i="6"/>
  <c r="D109" i="6"/>
  <c r="D112" i="6" s="1"/>
  <c r="X109" i="6"/>
  <c r="L109" i="6"/>
  <c r="L112" i="6" s="1"/>
  <c r="Y109" i="6"/>
  <c r="C131" i="6"/>
  <c r="P131" i="6"/>
  <c r="V131" i="6"/>
  <c r="D131" i="6"/>
  <c r="Q131" i="6"/>
  <c r="Q134" i="6" s="1"/>
  <c r="B109" i="6"/>
  <c r="O109" i="6"/>
  <c r="C109" i="6"/>
  <c r="C112" i="6" s="1"/>
  <c r="P109" i="6"/>
  <c r="P112" i="6" s="1"/>
  <c r="E131" i="6"/>
  <c r="E134" i="6" s="1"/>
  <c r="R131" i="6"/>
  <c r="BV19" i="17"/>
  <c r="BW19" i="17"/>
  <c r="BY19" i="17"/>
  <c r="BX19" i="17"/>
  <c r="BU19" i="17"/>
  <c r="V134" i="6"/>
  <c r="T124" i="6"/>
  <c r="T123" i="6"/>
  <c r="R133" i="6"/>
  <c r="T127" i="6"/>
  <c r="T119" i="6"/>
  <c r="T125" i="6"/>
  <c r="T121" i="6"/>
  <c r="I133" i="6"/>
  <c r="G123" i="6"/>
  <c r="G119" i="6"/>
  <c r="G118" i="6"/>
  <c r="G120" i="6"/>
  <c r="G121" i="6"/>
  <c r="G122" i="6"/>
  <c r="J133" i="6"/>
  <c r="X133" i="6"/>
  <c r="T118" i="6"/>
  <c r="T120" i="6"/>
  <c r="T126" i="6"/>
  <c r="T122" i="6"/>
  <c r="D133" i="6"/>
  <c r="Q133" i="6"/>
  <c r="H130" i="6"/>
  <c r="Y134" i="6"/>
  <c r="L131" i="6"/>
  <c r="G117" i="6"/>
  <c r="V132" i="6"/>
  <c r="W133" i="6"/>
  <c r="F130" i="6"/>
  <c r="B133" i="6"/>
  <c r="K133" i="6"/>
  <c r="V133" i="6"/>
  <c r="T117" i="6"/>
  <c r="U130" i="6"/>
  <c r="E133" i="6"/>
  <c r="P133" i="6"/>
  <c r="Y133" i="6"/>
  <c r="L133" i="6"/>
  <c r="F129" i="6"/>
  <c r="C133" i="6"/>
  <c r="S130" i="6"/>
  <c r="I131" i="6"/>
  <c r="D134" i="6"/>
  <c r="T103" i="6"/>
  <c r="T105" i="6"/>
  <c r="T101" i="6"/>
  <c r="T102" i="6"/>
  <c r="Q111" i="6"/>
  <c r="T104" i="6"/>
  <c r="O112" i="6"/>
  <c r="J111" i="6"/>
  <c r="I111" i="6"/>
  <c r="G101" i="6"/>
  <c r="G104" i="6"/>
  <c r="G103" i="6"/>
  <c r="E112" i="6"/>
  <c r="G102" i="6"/>
  <c r="U108" i="6"/>
  <c r="F108" i="6"/>
  <c r="O110" i="6"/>
  <c r="I110" i="6"/>
  <c r="K112" i="6"/>
  <c r="V109" i="6"/>
  <c r="B111" i="6"/>
  <c r="K111" i="6"/>
  <c r="V111" i="6"/>
  <c r="Q112" i="6"/>
  <c r="H108" i="6"/>
  <c r="C111" i="6"/>
  <c r="L111" i="6"/>
  <c r="W111" i="6"/>
  <c r="S108" i="6"/>
  <c r="D111" i="6"/>
  <c r="O111" i="6"/>
  <c r="X111" i="6"/>
  <c r="I112" i="6"/>
  <c r="E111" i="6"/>
  <c r="P111" i="6"/>
  <c r="Y111" i="6"/>
  <c r="F107" i="6"/>
  <c r="S49" i="7"/>
  <c r="U49" i="7"/>
  <c r="S50" i="7"/>
  <c r="U50" i="7"/>
  <c r="S51" i="7"/>
  <c r="U51" i="7"/>
  <c r="S52" i="7"/>
  <c r="U52" i="7"/>
  <c r="S53" i="7"/>
  <c r="U53" i="7"/>
  <c r="U48" i="7"/>
  <c r="S48" i="7"/>
  <c r="F49" i="7"/>
  <c r="H49" i="7"/>
  <c r="F50" i="7"/>
  <c r="H50" i="7"/>
  <c r="F51" i="7"/>
  <c r="H51" i="7"/>
  <c r="F52" i="7"/>
  <c r="H52" i="7"/>
  <c r="F53" i="7"/>
  <c r="H53" i="7"/>
  <c r="F54" i="7"/>
  <c r="H54" i="7"/>
  <c r="H48" i="7"/>
  <c r="F48" i="7"/>
  <c r="Y59" i="7"/>
  <c r="T277" i="10" s="1"/>
  <c r="AC277" i="10" s="1"/>
  <c r="AK38" i="17" s="1"/>
  <c r="X59" i="7"/>
  <c r="T261" i="10" s="1"/>
  <c r="W59" i="7"/>
  <c r="T253" i="10" s="1"/>
  <c r="V59" i="7"/>
  <c r="T269" i="10" s="1"/>
  <c r="R59" i="7"/>
  <c r="T357" i="10" s="1"/>
  <c r="Q59" i="7"/>
  <c r="T349" i="10" s="1"/>
  <c r="P59" i="7"/>
  <c r="T341" i="10" s="1"/>
  <c r="O59" i="7"/>
  <c r="T333" i="10" s="1"/>
  <c r="L59" i="7"/>
  <c r="S357" i="10" s="1"/>
  <c r="K59" i="7"/>
  <c r="S349" i="10" s="1"/>
  <c r="J59" i="7"/>
  <c r="S341" i="10" s="1"/>
  <c r="I59" i="7"/>
  <c r="S333" i="10" s="1"/>
  <c r="E59" i="7"/>
  <c r="S261" i="10" s="1"/>
  <c r="D59" i="7"/>
  <c r="S253" i="10" s="1"/>
  <c r="C59" i="7"/>
  <c r="S269" i="10" s="1"/>
  <c r="AC269" i="10" s="1"/>
  <c r="AJ38" i="17" s="1"/>
  <c r="B59" i="7"/>
  <c r="S245" i="10" s="1"/>
  <c r="Y58" i="7"/>
  <c r="T276" i="10" s="1"/>
  <c r="AC276" i="10" s="1"/>
  <c r="X58" i="7"/>
  <c r="T260" i="10" s="1"/>
  <c r="W58" i="7"/>
  <c r="T252" i="10" s="1"/>
  <c r="V58" i="7"/>
  <c r="T268" i="10" s="1"/>
  <c r="R58" i="7"/>
  <c r="T356" i="10" s="1"/>
  <c r="Q58" i="7"/>
  <c r="T348" i="10" s="1"/>
  <c r="P58" i="7"/>
  <c r="T340" i="10" s="1"/>
  <c r="O58" i="7"/>
  <c r="T332" i="10" s="1"/>
  <c r="L58" i="7"/>
  <c r="S356" i="10" s="1"/>
  <c r="K58" i="7"/>
  <c r="S348" i="10" s="1"/>
  <c r="J58" i="7"/>
  <c r="S340" i="10" s="1"/>
  <c r="I58" i="7"/>
  <c r="S332" i="10" s="1"/>
  <c r="E58" i="7"/>
  <c r="S260" i="10" s="1"/>
  <c r="D58" i="7"/>
  <c r="S252" i="10" s="1"/>
  <c r="C58" i="7"/>
  <c r="S268" i="10" s="1"/>
  <c r="AC268" i="10" s="1"/>
  <c r="B58" i="7"/>
  <c r="S244" i="10" s="1"/>
  <c r="F84" i="6"/>
  <c r="H84" i="6"/>
  <c r="F85" i="6"/>
  <c r="H85" i="6"/>
  <c r="F80" i="6"/>
  <c r="H80" i="6"/>
  <c r="F81" i="6"/>
  <c r="H81" i="6"/>
  <c r="F82" i="6"/>
  <c r="H82" i="6"/>
  <c r="F83" i="6"/>
  <c r="H83" i="6"/>
  <c r="H79" i="6"/>
  <c r="F79" i="6"/>
  <c r="S80" i="6"/>
  <c r="U80" i="6"/>
  <c r="S81" i="6"/>
  <c r="U81" i="6"/>
  <c r="S82" i="6"/>
  <c r="U82" i="6"/>
  <c r="S83" i="6"/>
  <c r="U83" i="6"/>
  <c r="S84" i="6"/>
  <c r="U84" i="6"/>
  <c r="S85" i="6"/>
  <c r="U85" i="6"/>
  <c r="U79" i="6"/>
  <c r="S79" i="6"/>
  <c r="Y90" i="6"/>
  <c r="O181" i="10" s="1"/>
  <c r="X90" i="6"/>
  <c r="O173" i="10" s="1"/>
  <c r="W90" i="6"/>
  <c r="O165" i="10" s="1"/>
  <c r="V90" i="6"/>
  <c r="R90" i="6"/>
  <c r="Q90" i="6"/>
  <c r="P90" i="6"/>
  <c r="O90" i="6"/>
  <c r="L90" i="6"/>
  <c r="K90" i="6"/>
  <c r="J90" i="6"/>
  <c r="I90" i="6"/>
  <c r="E90" i="6"/>
  <c r="N181" i="10" s="1"/>
  <c r="D90" i="6"/>
  <c r="N173" i="10" s="1"/>
  <c r="C90" i="6"/>
  <c r="N165" i="10" s="1"/>
  <c r="B90" i="6"/>
  <c r="N157" i="10" s="1"/>
  <c r="Y89" i="6"/>
  <c r="X89" i="6"/>
  <c r="W89" i="6"/>
  <c r="V89" i="6"/>
  <c r="R89" i="6"/>
  <c r="Q89" i="6"/>
  <c r="P89" i="6"/>
  <c r="O89" i="6"/>
  <c r="L89" i="6"/>
  <c r="K89" i="6"/>
  <c r="J89" i="6"/>
  <c r="I89" i="6"/>
  <c r="E89" i="6"/>
  <c r="N180" i="10" s="1"/>
  <c r="D89" i="6"/>
  <c r="C89" i="6"/>
  <c r="B89" i="6"/>
  <c r="F39" i="6"/>
  <c r="H39" i="6"/>
  <c r="F40" i="6"/>
  <c r="H40" i="6"/>
  <c r="S40" i="6"/>
  <c r="U40" i="6"/>
  <c r="F11" i="6"/>
  <c r="H11" i="6"/>
  <c r="F12" i="6"/>
  <c r="H12" i="6"/>
  <c r="F13" i="6"/>
  <c r="F6" i="6"/>
  <c r="H6" i="6"/>
  <c r="F7" i="6"/>
  <c r="H7" i="6"/>
  <c r="F8" i="6"/>
  <c r="H8" i="6"/>
  <c r="F9" i="6"/>
  <c r="H9" i="6"/>
  <c r="F10" i="6"/>
  <c r="H10" i="6"/>
  <c r="F5" i="6"/>
  <c r="H5" i="6"/>
  <c r="S6" i="6"/>
  <c r="U6" i="6"/>
  <c r="S7" i="6"/>
  <c r="U7" i="6"/>
  <c r="S8" i="6"/>
  <c r="U8" i="6"/>
  <c r="S9" i="6"/>
  <c r="U9" i="6"/>
  <c r="S10" i="6"/>
  <c r="U10" i="6"/>
  <c r="S11" i="6"/>
  <c r="U11" i="6"/>
  <c r="U5" i="6"/>
  <c r="S5" i="6"/>
  <c r="S34" i="6"/>
  <c r="U34" i="6"/>
  <c r="S35" i="6"/>
  <c r="U35" i="6"/>
  <c r="S36" i="6"/>
  <c r="U36" i="6"/>
  <c r="S37" i="6"/>
  <c r="U37" i="6"/>
  <c r="S38" i="6"/>
  <c r="U38" i="6"/>
  <c r="S39" i="6"/>
  <c r="U39" i="6"/>
  <c r="U33" i="6"/>
  <c r="S33" i="6"/>
  <c r="F34" i="6"/>
  <c r="H34" i="6"/>
  <c r="F35" i="6"/>
  <c r="H35" i="6"/>
  <c r="F36" i="6"/>
  <c r="H36" i="6"/>
  <c r="F37" i="6"/>
  <c r="H37" i="6"/>
  <c r="F38" i="6"/>
  <c r="H38" i="6"/>
  <c r="H33" i="6"/>
  <c r="F33" i="6"/>
  <c r="Y48" i="6"/>
  <c r="X48" i="6"/>
  <c r="W48" i="6"/>
  <c r="V48" i="6"/>
  <c r="R48" i="6"/>
  <c r="Q48" i="6"/>
  <c r="P48" i="6"/>
  <c r="O48" i="6"/>
  <c r="L48" i="6"/>
  <c r="K48" i="6"/>
  <c r="J48" i="6"/>
  <c r="I48" i="6"/>
  <c r="E48" i="6"/>
  <c r="D48" i="6"/>
  <c r="C48" i="6"/>
  <c r="B48" i="6"/>
  <c r="Y47" i="6"/>
  <c r="X47" i="6"/>
  <c r="W47" i="6"/>
  <c r="V47" i="6"/>
  <c r="R47" i="6"/>
  <c r="Q47" i="6"/>
  <c r="P47" i="6"/>
  <c r="O47" i="6"/>
  <c r="L47" i="6"/>
  <c r="K47" i="6"/>
  <c r="J47" i="6"/>
  <c r="I47" i="6"/>
  <c r="E47" i="6"/>
  <c r="D47" i="6"/>
  <c r="C47" i="6"/>
  <c r="B47" i="6"/>
  <c r="Y24" i="6"/>
  <c r="X24" i="6"/>
  <c r="W24" i="6"/>
  <c r="V24" i="6"/>
  <c r="R24" i="6"/>
  <c r="O29" i="10" s="1"/>
  <c r="Q24" i="6"/>
  <c r="P24" i="6"/>
  <c r="O37" i="10" s="1"/>
  <c r="O24" i="6"/>
  <c r="O13" i="10" s="1"/>
  <c r="L24" i="6"/>
  <c r="N21" i="10" s="1"/>
  <c r="K24" i="6"/>
  <c r="N37" i="10" s="1"/>
  <c r="J24" i="6"/>
  <c r="N13" i="10" s="1"/>
  <c r="I24" i="6"/>
  <c r="N29" i="10" s="1"/>
  <c r="E24" i="6"/>
  <c r="D24" i="6"/>
  <c r="C24" i="6"/>
  <c r="B24" i="6"/>
  <c r="Y23" i="6"/>
  <c r="X23" i="6"/>
  <c r="W23" i="6"/>
  <c r="V23" i="6"/>
  <c r="R23" i="6"/>
  <c r="O28" i="10" s="1"/>
  <c r="Q23" i="6"/>
  <c r="P23" i="6"/>
  <c r="O23" i="6"/>
  <c r="L23" i="6"/>
  <c r="N20" i="10" s="1"/>
  <c r="K23" i="6"/>
  <c r="J23" i="6"/>
  <c r="I23" i="6"/>
  <c r="E23" i="6"/>
  <c r="D23" i="6"/>
  <c r="C23" i="6"/>
  <c r="B23" i="6"/>
  <c r="S37" i="8"/>
  <c r="U37" i="8"/>
  <c r="AL40" i="8"/>
  <c r="Z61" i="10" s="1"/>
  <c r="AK40" i="8"/>
  <c r="Z85" i="10" s="1"/>
  <c r="AJ40" i="8"/>
  <c r="Z77" i="10" s="1"/>
  <c r="AI40" i="8"/>
  <c r="Z69" i="10" s="1"/>
  <c r="AE40" i="8"/>
  <c r="AD40" i="8"/>
  <c r="AC40" i="8"/>
  <c r="AB40" i="8"/>
  <c r="AL39" i="8"/>
  <c r="Z60" i="10" s="1"/>
  <c r="AK39" i="8"/>
  <c r="Z84" i="10" s="1"/>
  <c r="AJ39" i="8"/>
  <c r="Z76" i="10" s="1"/>
  <c r="AI39" i="8"/>
  <c r="Z68" i="10" s="1"/>
  <c r="AE39" i="8"/>
  <c r="AD39" i="8"/>
  <c r="AC39" i="8"/>
  <c r="AB39" i="8"/>
  <c r="AH35" i="8"/>
  <c r="AF35" i="8"/>
  <c r="AH34" i="8"/>
  <c r="AF34" i="8"/>
  <c r="AH33" i="8"/>
  <c r="AF33" i="8"/>
  <c r="AH32" i="8"/>
  <c r="AF32" i="8"/>
  <c r="AH31" i="8"/>
  <c r="AF31" i="8"/>
  <c r="AH30" i="8"/>
  <c r="AF30" i="8"/>
  <c r="AH29" i="8"/>
  <c r="AF29" i="8"/>
  <c r="Y40" i="8"/>
  <c r="X40" i="8"/>
  <c r="W40" i="8"/>
  <c r="V40" i="8"/>
  <c r="R40" i="8"/>
  <c r="Y85" i="10" s="1"/>
  <c r="Q40" i="8"/>
  <c r="Y77" i="10" s="1"/>
  <c r="P40" i="8"/>
  <c r="Y69" i="10" s="1"/>
  <c r="O40" i="8"/>
  <c r="Y61" i="10" s="1"/>
  <c r="Y39" i="8"/>
  <c r="X39" i="8"/>
  <c r="W39" i="8"/>
  <c r="V39" i="8"/>
  <c r="R39" i="8"/>
  <c r="Y84" i="10" s="1"/>
  <c r="Q39" i="8"/>
  <c r="Y76" i="10" s="1"/>
  <c r="P39" i="8"/>
  <c r="Y68" i="10" s="1"/>
  <c r="O39" i="8"/>
  <c r="Y60" i="10" s="1"/>
  <c r="U36" i="8"/>
  <c r="S36" i="8"/>
  <c r="U35" i="8"/>
  <c r="S35" i="8"/>
  <c r="U34" i="8"/>
  <c r="S34" i="8"/>
  <c r="U33" i="8"/>
  <c r="S33" i="8"/>
  <c r="U32" i="8"/>
  <c r="S32" i="8"/>
  <c r="U31" i="8"/>
  <c r="S31" i="8"/>
  <c r="U30" i="8"/>
  <c r="S30" i="8"/>
  <c r="U29" i="8"/>
  <c r="S29" i="8"/>
  <c r="F30" i="8"/>
  <c r="H30" i="8"/>
  <c r="F31" i="8"/>
  <c r="H31" i="8"/>
  <c r="F32" i="8"/>
  <c r="H32" i="8"/>
  <c r="F33" i="8"/>
  <c r="H33" i="8"/>
  <c r="F34" i="8"/>
  <c r="H34" i="8"/>
  <c r="H29" i="8"/>
  <c r="F29" i="8"/>
  <c r="L40" i="8"/>
  <c r="X69" i="10" s="1"/>
  <c r="K40" i="8"/>
  <c r="X61" i="10" s="1"/>
  <c r="J40" i="8"/>
  <c r="X85" i="10" s="1"/>
  <c r="I40" i="8"/>
  <c r="X77" i="10" s="1"/>
  <c r="E40" i="8"/>
  <c r="D40" i="8"/>
  <c r="C40" i="8"/>
  <c r="B40" i="8"/>
  <c r="L39" i="8"/>
  <c r="X68" i="10" s="1"/>
  <c r="K39" i="8"/>
  <c r="X60" i="10" s="1"/>
  <c r="J39" i="8"/>
  <c r="X84" i="10" s="1"/>
  <c r="I39" i="8"/>
  <c r="X76" i="10" s="1"/>
  <c r="E39" i="8"/>
  <c r="D39" i="8"/>
  <c r="C39" i="8"/>
  <c r="B39" i="8"/>
  <c r="V61" i="15"/>
  <c r="T63" i="15"/>
  <c r="V63" i="15"/>
  <c r="AG35" i="15"/>
  <c r="AI35" i="15"/>
  <c r="G92" i="15"/>
  <c r="I92" i="15"/>
  <c r="G84" i="15"/>
  <c r="I84" i="15"/>
  <c r="G85" i="15"/>
  <c r="I85" i="15"/>
  <c r="G86" i="15"/>
  <c r="I86" i="15"/>
  <c r="G87" i="15"/>
  <c r="I87" i="15"/>
  <c r="G88" i="15"/>
  <c r="I88" i="15"/>
  <c r="G89" i="15"/>
  <c r="I89" i="15"/>
  <c r="G90" i="15"/>
  <c r="I90" i="15"/>
  <c r="G91" i="15"/>
  <c r="I91" i="15"/>
  <c r="T80" i="15"/>
  <c r="V80" i="15"/>
  <c r="T81" i="15"/>
  <c r="V81" i="15"/>
  <c r="T82" i="15"/>
  <c r="V82" i="15"/>
  <c r="AG12" i="15"/>
  <c r="AI12" i="15"/>
  <c r="AG13" i="15"/>
  <c r="AI13" i="15"/>
  <c r="AG14" i="15"/>
  <c r="AI14" i="15"/>
  <c r="AG15" i="15"/>
  <c r="AI15" i="15"/>
  <c r="AG16" i="15"/>
  <c r="AI16" i="15"/>
  <c r="AG17" i="15"/>
  <c r="AI17" i="15"/>
  <c r="AG18" i="15"/>
  <c r="AI18" i="15"/>
  <c r="T324" i="10" l="1"/>
  <c r="T325" i="10"/>
  <c r="AC260" i="10"/>
  <c r="AC261" i="10"/>
  <c r="AI38" i="17" s="1"/>
  <c r="AI32" i="17" s="1"/>
  <c r="S237" i="10"/>
  <c r="AC245" i="10"/>
  <c r="AG38" i="17" s="1"/>
  <c r="AJ9" i="17"/>
  <c r="AC272" i="10"/>
  <c r="AJ32" i="17"/>
  <c r="AJ34" i="17"/>
  <c r="AJ36" i="17"/>
  <c r="AI34" i="17"/>
  <c r="AI9" i="17"/>
  <c r="S324" i="10"/>
  <c r="S325" i="10"/>
  <c r="S236" i="10"/>
  <c r="AC244" i="10"/>
  <c r="AC356" i="10"/>
  <c r="AK9" i="17"/>
  <c r="AC280" i="10"/>
  <c r="AC357" i="10"/>
  <c r="AS38" i="17" s="1"/>
  <c r="AK36" i="17"/>
  <c r="AK32" i="17"/>
  <c r="AK34" i="17"/>
  <c r="X52" i="10"/>
  <c r="X53" i="10"/>
  <c r="Z52" i="10"/>
  <c r="Z53" i="10"/>
  <c r="Y52" i="10"/>
  <c r="Y53" i="10"/>
  <c r="N149" i="10"/>
  <c r="S77" i="6"/>
  <c r="U131" i="6"/>
  <c r="B132" i="6"/>
  <c r="N164" i="10"/>
  <c r="N172" i="10"/>
  <c r="U77" i="6"/>
  <c r="N156" i="10"/>
  <c r="O156" i="10"/>
  <c r="O157" i="10"/>
  <c r="O149" i="10" s="1"/>
  <c r="O164" i="10"/>
  <c r="O172" i="10"/>
  <c r="F77" i="6"/>
  <c r="O180" i="10"/>
  <c r="H77" i="6"/>
  <c r="H31" i="6"/>
  <c r="B112" i="6"/>
  <c r="B110" i="6"/>
  <c r="U31" i="6"/>
  <c r="S31" i="6"/>
  <c r="F31" i="6"/>
  <c r="N28" i="10"/>
  <c r="N12" i="10"/>
  <c r="N5" i="10"/>
  <c r="N36" i="10"/>
  <c r="O12" i="10"/>
  <c r="O36" i="10"/>
  <c r="O20" i="10"/>
  <c r="O21" i="10"/>
  <c r="O5" i="10" s="1"/>
  <c r="AF27" i="8"/>
  <c r="AH27" i="8"/>
  <c r="D41" i="8"/>
  <c r="Q43" i="8"/>
  <c r="Y80" i="10" s="1"/>
  <c r="Q41" i="8"/>
  <c r="Y78" i="10" s="1"/>
  <c r="AD43" i="8"/>
  <c r="AD41" i="8"/>
  <c r="AD44" i="8" s="1"/>
  <c r="P41" i="8"/>
  <c r="E43" i="8"/>
  <c r="E41" i="8"/>
  <c r="E44" i="8" s="1"/>
  <c r="R41" i="8"/>
  <c r="AE43" i="8"/>
  <c r="AE41" i="8"/>
  <c r="I41" i="8"/>
  <c r="X78" i="10" s="1"/>
  <c r="V41" i="8"/>
  <c r="AI41" i="8"/>
  <c r="Z70" i="10" s="1"/>
  <c r="J41" i="8"/>
  <c r="X86" i="10" s="1"/>
  <c r="W41" i="8"/>
  <c r="W44" i="8" s="1"/>
  <c r="AJ41" i="8"/>
  <c r="K41" i="8"/>
  <c r="X62" i="10" s="1"/>
  <c r="AK41" i="8"/>
  <c r="Z86" i="10" s="1"/>
  <c r="C41" i="8"/>
  <c r="L41" i="8"/>
  <c r="X70" i="10" s="1"/>
  <c r="Y41" i="8"/>
  <c r="Y44" i="8" s="1"/>
  <c r="AL43" i="8"/>
  <c r="Z64" i="10" s="1"/>
  <c r="B41" i="8"/>
  <c r="P62" i="7"/>
  <c r="T344" i="10" s="1"/>
  <c r="C60" i="7"/>
  <c r="P60" i="7"/>
  <c r="O60" i="7"/>
  <c r="D60" i="7"/>
  <c r="Q60" i="7"/>
  <c r="E62" i="7"/>
  <c r="S264" i="10" s="1"/>
  <c r="E60" i="7"/>
  <c r="S262" i="10" s="1"/>
  <c r="R60" i="7"/>
  <c r="I60" i="7"/>
  <c r="S334" i="10" s="1"/>
  <c r="V60" i="7"/>
  <c r="T270" i="10" s="1"/>
  <c r="J60" i="7"/>
  <c r="W60" i="7"/>
  <c r="B62" i="7"/>
  <c r="S248" i="10" s="1"/>
  <c r="X62" i="7"/>
  <c r="T264" i="10" s="1"/>
  <c r="K60" i="7"/>
  <c r="X60" i="7"/>
  <c r="T262" i="10" s="1"/>
  <c r="L60" i="7"/>
  <c r="Y60" i="7"/>
  <c r="X28" i="6"/>
  <c r="O401" i="10" s="1"/>
  <c r="H109" i="6"/>
  <c r="S109" i="6"/>
  <c r="U3" i="6"/>
  <c r="S131" i="6"/>
  <c r="F131" i="6"/>
  <c r="Y132" i="6"/>
  <c r="X132" i="6"/>
  <c r="J132" i="6"/>
  <c r="P134" i="6"/>
  <c r="E132" i="6"/>
  <c r="D132" i="6"/>
  <c r="C132" i="6"/>
  <c r="D110" i="6"/>
  <c r="W110" i="6"/>
  <c r="K132" i="6"/>
  <c r="R110" i="6"/>
  <c r="V112" i="6"/>
  <c r="P110" i="6"/>
  <c r="Y110" i="6"/>
  <c r="K110" i="6"/>
  <c r="Q132" i="6"/>
  <c r="F109" i="6"/>
  <c r="C134" i="6"/>
  <c r="O132" i="6"/>
  <c r="J110" i="6"/>
  <c r="E110" i="6"/>
  <c r="P132" i="6"/>
  <c r="B134" i="6"/>
  <c r="C110" i="6"/>
  <c r="L110" i="6"/>
  <c r="R132" i="6"/>
  <c r="X110" i="6"/>
  <c r="X112" i="6"/>
  <c r="R134" i="6"/>
  <c r="L132" i="6"/>
  <c r="Q110" i="6"/>
  <c r="W132" i="6"/>
  <c r="W91" i="6"/>
  <c r="X91" i="6"/>
  <c r="O174" i="10" s="1"/>
  <c r="Y91" i="6"/>
  <c r="O182" i="10" s="1"/>
  <c r="R91" i="6"/>
  <c r="O91" i="6"/>
  <c r="O94" i="6" s="1"/>
  <c r="P91" i="6"/>
  <c r="P94" i="6" s="1"/>
  <c r="I91" i="6"/>
  <c r="I92" i="6" s="1"/>
  <c r="K91" i="6"/>
  <c r="J91" i="6"/>
  <c r="L91" i="6"/>
  <c r="L94" i="6" s="1"/>
  <c r="E91" i="6"/>
  <c r="D91" i="6"/>
  <c r="B91" i="6"/>
  <c r="N158" i="10" s="1"/>
  <c r="C91" i="6"/>
  <c r="X49" i="6"/>
  <c r="T40" i="6"/>
  <c r="W49" i="6"/>
  <c r="O49" i="6"/>
  <c r="R49" i="6"/>
  <c r="J49" i="6"/>
  <c r="J52" i="6" s="1"/>
  <c r="K49" i="6"/>
  <c r="L49" i="6"/>
  <c r="L52" i="6" s="1"/>
  <c r="I49" i="6"/>
  <c r="E49" i="6"/>
  <c r="B49" i="6"/>
  <c r="B52" i="6" s="1"/>
  <c r="C49" i="6"/>
  <c r="D49" i="6"/>
  <c r="D52" i="6" s="1"/>
  <c r="U23" i="6"/>
  <c r="W25" i="6"/>
  <c r="W28" i="6" s="1"/>
  <c r="X26" i="6"/>
  <c r="O399" i="10" s="1"/>
  <c r="Y25" i="6"/>
  <c r="R25" i="6"/>
  <c r="O25" i="6"/>
  <c r="P25" i="6"/>
  <c r="P26" i="6" s="1"/>
  <c r="S23" i="6"/>
  <c r="S3" i="6"/>
  <c r="I25" i="6"/>
  <c r="J25" i="6"/>
  <c r="G9" i="6"/>
  <c r="K25" i="6"/>
  <c r="L27" i="6"/>
  <c r="L25" i="6"/>
  <c r="N22" i="10" s="1"/>
  <c r="H23" i="6"/>
  <c r="H3" i="6"/>
  <c r="E25" i="6"/>
  <c r="E28" i="6" s="1"/>
  <c r="B25" i="6"/>
  <c r="B28" i="6" s="1"/>
  <c r="C25" i="6"/>
  <c r="F23" i="6"/>
  <c r="F3" i="6"/>
  <c r="D25" i="6"/>
  <c r="D28" i="6" s="1"/>
  <c r="V49" i="6"/>
  <c r="H66" i="7"/>
  <c r="F66" i="7"/>
  <c r="T48" i="7"/>
  <c r="Q51" i="6"/>
  <c r="H89" i="6"/>
  <c r="S47" i="6"/>
  <c r="F89" i="6"/>
  <c r="U47" i="6"/>
  <c r="U89" i="6"/>
  <c r="S89" i="6"/>
  <c r="S133" i="6"/>
  <c r="H133" i="6"/>
  <c r="U133" i="6"/>
  <c r="L134" i="6"/>
  <c r="F133" i="6"/>
  <c r="I132" i="6"/>
  <c r="H131" i="6"/>
  <c r="I134" i="6"/>
  <c r="F111" i="6"/>
  <c r="U109" i="6"/>
  <c r="V110" i="6"/>
  <c r="G48" i="7"/>
  <c r="T52" i="7"/>
  <c r="T51" i="7"/>
  <c r="T50" i="7"/>
  <c r="T53" i="7"/>
  <c r="T49" i="7"/>
  <c r="Q62" i="7"/>
  <c r="T352" i="10" s="1"/>
  <c r="G49" i="7"/>
  <c r="G51" i="7"/>
  <c r="I62" i="7"/>
  <c r="S336" i="10" s="1"/>
  <c r="G50" i="7"/>
  <c r="F59" i="7"/>
  <c r="G54" i="7"/>
  <c r="B60" i="7"/>
  <c r="S246" i="10" s="1"/>
  <c r="G53" i="7"/>
  <c r="R62" i="7"/>
  <c r="T360" i="10" s="1"/>
  <c r="V63" i="7"/>
  <c r="T273" i="10" s="1"/>
  <c r="G52" i="7"/>
  <c r="H59" i="7"/>
  <c r="U59" i="7"/>
  <c r="U46" i="7"/>
  <c r="O61" i="7"/>
  <c r="T335" i="10" s="1"/>
  <c r="J62" i="7"/>
  <c r="S344" i="10" s="1"/>
  <c r="E63" i="7"/>
  <c r="S265" i="10" s="1"/>
  <c r="C62" i="7"/>
  <c r="S272" i="10" s="1"/>
  <c r="L62" i="7"/>
  <c r="S360" i="10" s="1"/>
  <c r="W62" i="7"/>
  <c r="T256" i="10" s="1"/>
  <c r="S46" i="7"/>
  <c r="S59" i="7"/>
  <c r="D62" i="7"/>
  <c r="S256" i="10" s="1"/>
  <c r="O62" i="7"/>
  <c r="T336" i="10" s="1"/>
  <c r="V62" i="7"/>
  <c r="T272" i="10" s="1"/>
  <c r="Y62" i="7"/>
  <c r="T280" i="10" s="1"/>
  <c r="K62" i="7"/>
  <c r="S352" i="10" s="1"/>
  <c r="T85" i="6"/>
  <c r="T81" i="6"/>
  <c r="T84" i="6"/>
  <c r="T80" i="6"/>
  <c r="I93" i="6"/>
  <c r="G82" i="6"/>
  <c r="G84" i="6"/>
  <c r="T83" i="6"/>
  <c r="T82" i="6"/>
  <c r="G80" i="6"/>
  <c r="G85" i="6"/>
  <c r="G81" i="6"/>
  <c r="G83" i="6"/>
  <c r="D93" i="6"/>
  <c r="Q93" i="6"/>
  <c r="B94" i="6"/>
  <c r="R93" i="6"/>
  <c r="S90" i="6"/>
  <c r="F90" i="6"/>
  <c r="J93" i="6"/>
  <c r="U90" i="6"/>
  <c r="V91" i="6"/>
  <c r="O158" i="10" s="1"/>
  <c r="K94" i="6"/>
  <c r="B93" i="6"/>
  <c r="K93" i="6"/>
  <c r="V93" i="6"/>
  <c r="H90" i="6"/>
  <c r="C93" i="6"/>
  <c r="L93" i="6"/>
  <c r="W93" i="6"/>
  <c r="R94" i="6"/>
  <c r="E93" i="6"/>
  <c r="P93" i="6"/>
  <c r="Y93" i="6"/>
  <c r="O93" i="6"/>
  <c r="Q91" i="6"/>
  <c r="X93" i="6"/>
  <c r="T79" i="6"/>
  <c r="T38" i="6"/>
  <c r="T34" i="6"/>
  <c r="T36" i="6"/>
  <c r="J51" i="6"/>
  <c r="T37" i="6"/>
  <c r="T39" i="6"/>
  <c r="T35" i="6"/>
  <c r="G36" i="6"/>
  <c r="G35" i="6"/>
  <c r="G34" i="6"/>
  <c r="G37" i="6"/>
  <c r="G40" i="6"/>
  <c r="G38" i="6"/>
  <c r="G39" i="6"/>
  <c r="P51" i="6"/>
  <c r="E52" i="6"/>
  <c r="Y51" i="6"/>
  <c r="R51" i="6"/>
  <c r="F48" i="6"/>
  <c r="U48" i="6"/>
  <c r="K52" i="6"/>
  <c r="T10" i="6"/>
  <c r="T6" i="6"/>
  <c r="T9" i="6"/>
  <c r="T7" i="6"/>
  <c r="T11" i="6"/>
  <c r="T8" i="6"/>
  <c r="J27" i="6"/>
  <c r="G13" i="6"/>
  <c r="G10" i="6"/>
  <c r="G6" i="6"/>
  <c r="G8" i="6"/>
  <c r="G7" i="6"/>
  <c r="G11" i="6"/>
  <c r="G12" i="6"/>
  <c r="U24" i="6"/>
  <c r="Q27" i="6"/>
  <c r="H24" i="6"/>
  <c r="X52" i="6"/>
  <c r="H48" i="6"/>
  <c r="C51" i="6"/>
  <c r="L51" i="6"/>
  <c r="W51" i="6"/>
  <c r="R52" i="6"/>
  <c r="B51" i="6"/>
  <c r="S48" i="6"/>
  <c r="D51" i="6"/>
  <c r="O51" i="6"/>
  <c r="X51" i="6"/>
  <c r="P49" i="6"/>
  <c r="Y49" i="6"/>
  <c r="E51" i="6"/>
  <c r="K51" i="6"/>
  <c r="Q49" i="6"/>
  <c r="V51" i="6"/>
  <c r="I51" i="6"/>
  <c r="R27" i="6"/>
  <c r="F24" i="6"/>
  <c r="S24" i="6"/>
  <c r="V25" i="6"/>
  <c r="V28" i="6" s="1"/>
  <c r="Y26" i="6"/>
  <c r="B27" i="6"/>
  <c r="C27" i="6"/>
  <c r="E27" i="6"/>
  <c r="P27" i="6"/>
  <c r="Y27" i="6"/>
  <c r="K27" i="6"/>
  <c r="Q25" i="6"/>
  <c r="O22" i="10" s="1"/>
  <c r="W27" i="6"/>
  <c r="D27" i="6"/>
  <c r="O27" i="6"/>
  <c r="X27" i="6"/>
  <c r="L28" i="6"/>
  <c r="V27" i="6"/>
  <c r="I27" i="6"/>
  <c r="X43" i="8"/>
  <c r="T37" i="8"/>
  <c r="AG34" i="8"/>
  <c r="AG35" i="8"/>
  <c r="AI43" i="8"/>
  <c r="Z72" i="10" s="1"/>
  <c r="AC43" i="8"/>
  <c r="AF40" i="8"/>
  <c r="AG30" i="8"/>
  <c r="W43" i="8"/>
  <c r="R43" i="8"/>
  <c r="Y88" i="10" s="1"/>
  <c r="F40" i="8"/>
  <c r="O43" i="8"/>
  <c r="Y64" i="10" s="1"/>
  <c r="U27" i="8"/>
  <c r="G32" i="8"/>
  <c r="T30" i="8"/>
  <c r="T34" i="8"/>
  <c r="AG29" i="8"/>
  <c r="AG32" i="8"/>
  <c r="AG33" i="8"/>
  <c r="AG31" i="8"/>
  <c r="T29" i="8"/>
  <c r="T33" i="8"/>
  <c r="T31" i="8"/>
  <c r="T35" i="8"/>
  <c r="T32" i="8"/>
  <c r="T36" i="8"/>
  <c r="H40" i="8"/>
  <c r="G34" i="8"/>
  <c r="G30" i="8"/>
  <c r="G33" i="8"/>
  <c r="B42" i="8"/>
  <c r="D43" i="8"/>
  <c r="G31" i="8"/>
  <c r="B44" i="8"/>
  <c r="C44" i="8"/>
  <c r="F39" i="8"/>
  <c r="AF39" i="8"/>
  <c r="AB41" i="8"/>
  <c r="AH39" i="8"/>
  <c r="AC41" i="8"/>
  <c r="AL41" i="8"/>
  <c r="Z62" i="10" s="1"/>
  <c r="AE44" i="8"/>
  <c r="AH40" i="8"/>
  <c r="AJ43" i="8"/>
  <c r="Z80" i="10" s="1"/>
  <c r="AB43" i="8"/>
  <c r="AK43" i="8"/>
  <c r="Z88" i="10" s="1"/>
  <c r="O41" i="8"/>
  <c r="Y62" i="10" s="1"/>
  <c r="X41" i="8"/>
  <c r="U39" i="8"/>
  <c r="S27" i="8"/>
  <c r="S40" i="8"/>
  <c r="V43" i="8"/>
  <c r="U40" i="8"/>
  <c r="S39" i="8"/>
  <c r="P43" i="8"/>
  <c r="Y72" i="10" s="1"/>
  <c r="Y43" i="8"/>
  <c r="J44" i="8"/>
  <c r="X89" i="10" s="1"/>
  <c r="I42" i="8"/>
  <c r="X79" i="10" s="1"/>
  <c r="H39" i="8"/>
  <c r="B43" i="8"/>
  <c r="K43" i="8"/>
  <c r="X64" i="10" s="1"/>
  <c r="I44" i="8"/>
  <c r="X81" i="10" s="1"/>
  <c r="I43" i="8"/>
  <c r="X80" i="10" s="1"/>
  <c r="J43" i="8"/>
  <c r="X88" i="10" s="1"/>
  <c r="C43" i="8"/>
  <c r="L43" i="8"/>
  <c r="X72" i="10" s="1"/>
  <c r="U63" i="15"/>
  <c r="AH35" i="15"/>
  <c r="H91" i="15"/>
  <c r="H92" i="15"/>
  <c r="H89" i="15"/>
  <c r="H90" i="15"/>
  <c r="H86" i="15"/>
  <c r="H88" i="15"/>
  <c r="H84" i="15"/>
  <c r="H87" i="15"/>
  <c r="H85" i="15"/>
  <c r="U80" i="15"/>
  <c r="U82" i="15"/>
  <c r="U81" i="15"/>
  <c r="AH16" i="15"/>
  <c r="AH12" i="15"/>
  <c r="AH15" i="15"/>
  <c r="AH14" i="15"/>
  <c r="AH17" i="15"/>
  <c r="AH13" i="15"/>
  <c r="AH18" i="15"/>
  <c r="G82" i="15"/>
  <c r="I82" i="15"/>
  <c r="G83" i="15"/>
  <c r="I83" i="15"/>
  <c r="G38" i="15"/>
  <c r="I38" i="15"/>
  <c r="AC548" i="10"/>
  <c r="BL9" i="17" s="1"/>
  <c r="AC348" i="10"/>
  <c r="AR9" i="17" s="1"/>
  <c r="AC340" i="10"/>
  <c r="AQ9" i="17" s="1"/>
  <c r="AC252" i="10"/>
  <c r="AH9" i="17" s="1"/>
  <c r="AM98" i="15"/>
  <c r="AL98" i="15"/>
  <c r="AK98" i="15"/>
  <c r="AJ98" i="15"/>
  <c r="AF98" i="15"/>
  <c r="AE98" i="15"/>
  <c r="AD98" i="15"/>
  <c r="AC98" i="15"/>
  <c r="Z98" i="15"/>
  <c r="Y98" i="15"/>
  <c r="X98" i="15"/>
  <c r="W98" i="15"/>
  <c r="S98" i="15"/>
  <c r="R98" i="15"/>
  <c r="Q98" i="15"/>
  <c r="P98" i="15"/>
  <c r="M98" i="15"/>
  <c r="L98" i="15"/>
  <c r="K98" i="15"/>
  <c r="J98" i="15"/>
  <c r="D317" i="10" s="1"/>
  <c r="F98" i="15"/>
  <c r="E98" i="15"/>
  <c r="D98" i="15"/>
  <c r="C98" i="15"/>
  <c r="AM97" i="15"/>
  <c r="AL97" i="15"/>
  <c r="AK97" i="15"/>
  <c r="AJ97" i="15"/>
  <c r="AF97" i="15"/>
  <c r="AE97" i="15"/>
  <c r="AD97" i="15"/>
  <c r="AC97" i="15"/>
  <c r="Z97" i="15"/>
  <c r="Y97" i="15"/>
  <c r="X97" i="15"/>
  <c r="W97" i="15"/>
  <c r="S97" i="15"/>
  <c r="R97" i="15"/>
  <c r="Q97" i="15"/>
  <c r="P97" i="15"/>
  <c r="M97" i="15"/>
  <c r="L97" i="15"/>
  <c r="K97" i="15"/>
  <c r="J97" i="15"/>
  <c r="D316" i="10" s="1"/>
  <c r="F97" i="15"/>
  <c r="E97" i="15"/>
  <c r="D97" i="15"/>
  <c r="C97" i="15"/>
  <c r="AI83" i="15"/>
  <c r="AG83" i="15"/>
  <c r="AI82" i="15"/>
  <c r="AG82" i="15"/>
  <c r="AI81" i="15"/>
  <c r="AG81" i="15"/>
  <c r="I81" i="15"/>
  <c r="G81" i="15"/>
  <c r="AI80" i="15"/>
  <c r="AG80" i="15"/>
  <c r="I80" i="15"/>
  <c r="G80" i="15"/>
  <c r="AI79" i="15"/>
  <c r="AG79" i="15"/>
  <c r="V79" i="15"/>
  <c r="T79" i="15"/>
  <c r="I79" i="15"/>
  <c r="G79" i="15"/>
  <c r="AI78" i="15"/>
  <c r="AG78" i="15"/>
  <c r="V78" i="15"/>
  <c r="T78" i="15"/>
  <c r="I78" i="15"/>
  <c r="G78" i="15"/>
  <c r="AI77" i="15"/>
  <c r="AG77" i="15"/>
  <c r="V77" i="15"/>
  <c r="T77" i="15"/>
  <c r="I77" i="15"/>
  <c r="G77" i="15"/>
  <c r="AI76" i="15"/>
  <c r="AG76" i="15"/>
  <c r="V76" i="15"/>
  <c r="T76" i="15"/>
  <c r="I76" i="15"/>
  <c r="G76" i="15"/>
  <c r="AZ67" i="15"/>
  <c r="AY67" i="15"/>
  <c r="AX67" i="15"/>
  <c r="AW67" i="15"/>
  <c r="AS67" i="15"/>
  <c r="AR67" i="15"/>
  <c r="AQ67" i="15"/>
  <c r="AP67" i="15"/>
  <c r="Z67" i="15"/>
  <c r="Y67" i="15"/>
  <c r="X67" i="15"/>
  <c r="W67" i="15"/>
  <c r="S67" i="15"/>
  <c r="R67" i="15"/>
  <c r="Q67" i="15"/>
  <c r="P67" i="15"/>
  <c r="M67" i="15"/>
  <c r="L67" i="15"/>
  <c r="K67" i="15"/>
  <c r="J67" i="15"/>
  <c r="F67" i="15"/>
  <c r="E67" i="15"/>
  <c r="D67" i="15"/>
  <c r="C67" i="15"/>
  <c r="F333" i="10" s="1"/>
  <c r="AZ66" i="15"/>
  <c r="AY66" i="15"/>
  <c r="AX66" i="15"/>
  <c r="AW66" i="15"/>
  <c r="AS66" i="15"/>
  <c r="AR66" i="15"/>
  <c r="AQ66" i="15"/>
  <c r="AP66" i="15"/>
  <c r="Z66" i="15"/>
  <c r="Y66" i="15"/>
  <c r="X66" i="15"/>
  <c r="W66" i="15"/>
  <c r="S66" i="15"/>
  <c r="R66" i="15"/>
  <c r="Q66" i="15"/>
  <c r="P66" i="15"/>
  <c r="M66" i="15"/>
  <c r="L66" i="15"/>
  <c r="K66" i="15"/>
  <c r="J66" i="15"/>
  <c r="F66" i="15"/>
  <c r="E66" i="15"/>
  <c r="D66" i="15"/>
  <c r="C66" i="15"/>
  <c r="F332" i="10" s="1"/>
  <c r="AV62" i="15"/>
  <c r="AT62" i="15"/>
  <c r="V62" i="15"/>
  <c r="T62" i="15"/>
  <c r="AV61" i="15"/>
  <c r="AT61" i="15"/>
  <c r="T61" i="15"/>
  <c r="I61" i="15"/>
  <c r="G61" i="15"/>
  <c r="AV60" i="15"/>
  <c r="AT60" i="15"/>
  <c r="V60" i="15"/>
  <c r="T60" i="15"/>
  <c r="I60" i="15"/>
  <c r="G60" i="15"/>
  <c r="AV59" i="15"/>
  <c r="AT59" i="15"/>
  <c r="V59" i="15"/>
  <c r="T59" i="15"/>
  <c r="I59" i="15"/>
  <c r="G59" i="15"/>
  <c r="AV58" i="15"/>
  <c r="AT58" i="15"/>
  <c r="V58" i="15"/>
  <c r="T58" i="15"/>
  <c r="I58" i="15"/>
  <c r="G58" i="15"/>
  <c r="AV57" i="15"/>
  <c r="AT57" i="15"/>
  <c r="V57" i="15"/>
  <c r="T57" i="15"/>
  <c r="I57" i="15"/>
  <c r="G57" i="15"/>
  <c r="AV56" i="15"/>
  <c r="AT56" i="15"/>
  <c r="V56" i="15"/>
  <c r="T56" i="15"/>
  <c r="I56" i="15"/>
  <c r="G56" i="15"/>
  <c r="AV55" i="15"/>
  <c r="AT55" i="15"/>
  <c r="V55" i="15"/>
  <c r="T55" i="15"/>
  <c r="I55" i="15"/>
  <c r="G55" i="15"/>
  <c r="AV54" i="15"/>
  <c r="AT54" i="15"/>
  <c r="V54" i="15"/>
  <c r="T54" i="15"/>
  <c r="I54" i="15"/>
  <c r="G54" i="15"/>
  <c r="AV53" i="15"/>
  <c r="AT53" i="15"/>
  <c r="V53" i="15"/>
  <c r="T53" i="15"/>
  <c r="I53" i="15"/>
  <c r="G53" i="15"/>
  <c r="AZ44" i="15"/>
  <c r="AY44" i="15"/>
  <c r="AX44" i="15"/>
  <c r="AW44" i="15"/>
  <c r="AS44" i="15"/>
  <c r="AR44" i="15"/>
  <c r="AQ44" i="15"/>
  <c r="AP44" i="15"/>
  <c r="AM44" i="15"/>
  <c r="AL44" i="15"/>
  <c r="AK44" i="15"/>
  <c r="AJ44" i="15"/>
  <c r="AF44" i="15"/>
  <c r="AE44" i="15"/>
  <c r="AD44" i="15"/>
  <c r="AC44" i="15"/>
  <c r="M44" i="15"/>
  <c r="L44" i="15"/>
  <c r="K44" i="15"/>
  <c r="J44" i="15"/>
  <c r="F44" i="15"/>
  <c r="E44" i="15"/>
  <c r="D44" i="15"/>
  <c r="C44" i="15"/>
  <c r="AZ43" i="15"/>
  <c r="AY43" i="15"/>
  <c r="AX43" i="15"/>
  <c r="AW43" i="15"/>
  <c r="AS43" i="15"/>
  <c r="AR43" i="15"/>
  <c r="AQ43" i="15"/>
  <c r="AP43" i="15"/>
  <c r="AM43" i="15"/>
  <c r="AL43" i="15"/>
  <c r="AK43" i="15"/>
  <c r="AJ43" i="15"/>
  <c r="AF43" i="15"/>
  <c r="AE43" i="15"/>
  <c r="AD43" i="15"/>
  <c r="AC43" i="15"/>
  <c r="M43" i="15"/>
  <c r="L43" i="15"/>
  <c r="K43" i="15"/>
  <c r="J43" i="15"/>
  <c r="F43" i="15"/>
  <c r="E43" i="15"/>
  <c r="D43" i="15"/>
  <c r="C43" i="15"/>
  <c r="I37" i="15"/>
  <c r="G37" i="15"/>
  <c r="AV36" i="15"/>
  <c r="AT36" i="15"/>
  <c r="I36" i="15"/>
  <c r="G36" i="15"/>
  <c r="AV35" i="15"/>
  <c r="AT35" i="15"/>
  <c r="I35" i="15"/>
  <c r="G35" i="15"/>
  <c r="AV34" i="15"/>
  <c r="AT34" i="15"/>
  <c r="AI34" i="15"/>
  <c r="AG34" i="15"/>
  <c r="I34" i="15"/>
  <c r="G34" i="15"/>
  <c r="AV33" i="15"/>
  <c r="AT33" i="15"/>
  <c r="AI33" i="15"/>
  <c r="AG33" i="15"/>
  <c r="I33" i="15"/>
  <c r="G33" i="15"/>
  <c r="AV32" i="15"/>
  <c r="AT32" i="15"/>
  <c r="AI32" i="15"/>
  <c r="AG32" i="15"/>
  <c r="I32" i="15"/>
  <c r="G32" i="15"/>
  <c r="AV31" i="15"/>
  <c r="AT31" i="15"/>
  <c r="AI31" i="15"/>
  <c r="AG31" i="15"/>
  <c r="I31" i="15"/>
  <c r="G31" i="15"/>
  <c r="AV30" i="15"/>
  <c r="AT30" i="15"/>
  <c r="AI30" i="15"/>
  <c r="AG30" i="15"/>
  <c r="I30" i="15"/>
  <c r="G30" i="15"/>
  <c r="AZ21" i="15"/>
  <c r="AY21" i="15"/>
  <c r="AX21" i="15"/>
  <c r="AW21" i="15"/>
  <c r="AS21" i="15"/>
  <c r="AR21" i="15"/>
  <c r="AQ21" i="15"/>
  <c r="AP21" i="15"/>
  <c r="AM21" i="15"/>
  <c r="AL21" i="15"/>
  <c r="AK21" i="15"/>
  <c r="AJ21" i="15"/>
  <c r="AF21" i="15"/>
  <c r="AE21" i="15"/>
  <c r="AD21" i="15"/>
  <c r="AC21" i="15"/>
  <c r="Z21" i="15"/>
  <c r="Y21" i="15"/>
  <c r="X21" i="15"/>
  <c r="W21" i="15"/>
  <c r="S21" i="15"/>
  <c r="R21" i="15"/>
  <c r="Q21" i="15"/>
  <c r="P21" i="15"/>
  <c r="AZ20" i="15"/>
  <c r="AY20" i="15"/>
  <c r="AX20" i="15"/>
  <c r="AW20" i="15"/>
  <c r="AS20" i="15"/>
  <c r="AR20" i="15"/>
  <c r="AQ20" i="15"/>
  <c r="AP20" i="15"/>
  <c r="AM20" i="15"/>
  <c r="AL20" i="15"/>
  <c r="AK20" i="15"/>
  <c r="AJ20" i="15"/>
  <c r="AF20" i="15"/>
  <c r="AE20" i="15"/>
  <c r="AD20" i="15"/>
  <c r="AC20" i="15"/>
  <c r="Z20" i="15"/>
  <c r="Y20" i="15"/>
  <c r="X20" i="15"/>
  <c r="W20" i="15"/>
  <c r="S20" i="15"/>
  <c r="R20" i="15"/>
  <c r="Q20" i="15"/>
  <c r="P20" i="15"/>
  <c r="AV13" i="15"/>
  <c r="AT13" i="15"/>
  <c r="AV12" i="15"/>
  <c r="AT12" i="15"/>
  <c r="V12" i="15"/>
  <c r="T12" i="15"/>
  <c r="AV11" i="15"/>
  <c r="AT11" i="15"/>
  <c r="AI11" i="15"/>
  <c r="AG11" i="15"/>
  <c r="V11" i="15"/>
  <c r="T11" i="15"/>
  <c r="AV10" i="15"/>
  <c r="AT10" i="15"/>
  <c r="AI10" i="15"/>
  <c r="AG10" i="15"/>
  <c r="V10" i="15"/>
  <c r="T10" i="15"/>
  <c r="AV9" i="15"/>
  <c r="AT9" i="15"/>
  <c r="AI9" i="15"/>
  <c r="AG9" i="15"/>
  <c r="V9" i="15"/>
  <c r="T9" i="15"/>
  <c r="AV8" i="15"/>
  <c r="AT8" i="15"/>
  <c r="AI8" i="15"/>
  <c r="AG8" i="15"/>
  <c r="V8" i="15"/>
  <c r="T8" i="15"/>
  <c r="AV7" i="15"/>
  <c r="AT7" i="15"/>
  <c r="AI7" i="15"/>
  <c r="AG7" i="15"/>
  <c r="V7" i="15"/>
  <c r="T7" i="15"/>
  <c r="AV6" i="15"/>
  <c r="AT6" i="15"/>
  <c r="AI6" i="15"/>
  <c r="AG6" i="15"/>
  <c r="V6" i="15"/>
  <c r="T6" i="15"/>
  <c r="AV5" i="15"/>
  <c r="AT5" i="15"/>
  <c r="AI5" i="15"/>
  <c r="AG5" i="15"/>
  <c r="V5" i="15"/>
  <c r="T5" i="15"/>
  <c r="AC264" i="10" l="1"/>
  <c r="AI36" i="17"/>
  <c r="AI37" i="17" s="1"/>
  <c r="T328" i="10"/>
  <c r="S240" i="10"/>
  <c r="W63" i="7"/>
  <c r="T257" i="10" s="1"/>
  <c r="T254" i="10"/>
  <c r="D63" i="7"/>
  <c r="S257" i="10" s="1"/>
  <c r="S254" i="10"/>
  <c r="Q63" i="7"/>
  <c r="T353" i="10" s="1"/>
  <c r="T350" i="10"/>
  <c r="J63" i="7"/>
  <c r="S345" i="10" s="1"/>
  <c r="S342" i="10"/>
  <c r="O63" i="7"/>
  <c r="T337" i="10" s="1"/>
  <c r="T334" i="10"/>
  <c r="AK10" i="17"/>
  <c r="AK11" i="17"/>
  <c r="AI10" i="17"/>
  <c r="AI11" i="17"/>
  <c r="AJ37" i="17"/>
  <c r="S328" i="10"/>
  <c r="Y63" i="7"/>
  <c r="T281" i="10" s="1"/>
  <c r="T278" i="10"/>
  <c r="AC278" i="10" s="1"/>
  <c r="P63" i="7"/>
  <c r="T345" i="10" s="1"/>
  <c r="T342" i="10"/>
  <c r="AS9" i="17"/>
  <c r="AC360" i="10"/>
  <c r="L63" i="7"/>
  <c r="S361" i="10" s="1"/>
  <c r="S358" i="10"/>
  <c r="C63" i="7"/>
  <c r="S273" i="10" s="1"/>
  <c r="S270" i="10"/>
  <c r="AC270" i="10" s="1"/>
  <c r="AG9" i="17"/>
  <c r="AC248" i="10"/>
  <c r="R63" i="7"/>
  <c r="T361" i="10" s="1"/>
  <c r="T358" i="10"/>
  <c r="AK37" i="17"/>
  <c r="AJ11" i="17"/>
  <c r="AJ10" i="17"/>
  <c r="K63" i="7"/>
  <c r="S353" i="10" s="1"/>
  <c r="S350" i="10"/>
  <c r="AC262" i="10"/>
  <c r="AG32" i="17"/>
  <c r="AG36" i="17"/>
  <c r="AG34" i="17"/>
  <c r="AC246" i="10"/>
  <c r="AC249" i="10" s="1"/>
  <c r="AS34" i="17"/>
  <c r="AS36" i="17"/>
  <c r="AS32" i="17"/>
  <c r="D284" i="10"/>
  <c r="AC284" i="10" s="1"/>
  <c r="AC316" i="10"/>
  <c r="D285" i="10"/>
  <c r="AC285" i="10" s="1"/>
  <c r="V37" i="12" s="1"/>
  <c r="AC317" i="10"/>
  <c r="AO38" i="17" s="1"/>
  <c r="F325" i="10"/>
  <c r="AC333" i="10"/>
  <c r="AP38" i="17" s="1"/>
  <c r="F324" i="10"/>
  <c r="AC332" i="10"/>
  <c r="BL10" i="17"/>
  <c r="AR10" i="17"/>
  <c r="AQ10" i="17"/>
  <c r="AH10" i="17"/>
  <c r="AK44" i="8"/>
  <c r="Z89" i="10" s="1"/>
  <c r="Q44" i="8"/>
  <c r="Y81" i="10" s="1"/>
  <c r="R44" i="8"/>
  <c r="Y89" i="10" s="1"/>
  <c r="Y86" i="10"/>
  <c r="X54" i="10"/>
  <c r="X55" i="10" s="1"/>
  <c r="Z56" i="10"/>
  <c r="AJ44" i="8"/>
  <c r="Z81" i="10" s="1"/>
  <c r="Z78" i="10"/>
  <c r="Z54" i="10" s="1"/>
  <c r="Z55" i="10" s="1"/>
  <c r="L44" i="8"/>
  <c r="X73" i="10" s="1"/>
  <c r="Y56" i="10"/>
  <c r="P44" i="8"/>
  <c r="Y73" i="10" s="1"/>
  <c r="Y70" i="10"/>
  <c r="Y54" i="10" s="1"/>
  <c r="Y55" i="10" s="1"/>
  <c r="X56" i="10"/>
  <c r="S132" i="6"/>
  <c r="Y94" i="6"/>
  <c r="N148" i="10"/>
  <c r="U132" i="6"/>
  <c r="U134" i="6"/>
  <c r="S134" i="6"/>
  <c r="F132" i="6"/>
  <c r="F134" i="6"/>
  <c r="N184" i="10"/>
  <c r="P28" i="6"/>
  <c r="O168" i="10"/>
  <c r="O185" i="10"/>
  <c r="O176" i="10"/>
  <c r="E94" i="6"/>
  <c r="N182" i="10"/>
  <c r="O148" i="10"/>
  <c r="N160" i="10"/>
  <c r="N168" i="10"/>
  <c r="N161" i="10"/>
  <c r="C94" i="6"/>
  <c r="N166" i="10"/>
  <c r="I94" i="6"/>
  <c r="D94" i="6"/>
  <c r="N174" i="10"/>
  <c r="W94" i="6"/>
  <c r="O166" i="10"/>
  <c r="O150" i="10" s="1"/>
  <c r="O151" i="10" s="1"/>
  <c r="O184" i="10"/>
  <c r="O160" i="10"/>
  <c r="N176" i="10"/>
  <c r="S110" i="6"/>
  <c r="H110" i="6"/>
  <c r="F112" i="6"/>
  <c r="AU53" i="15"/>
  <c r="F91" i="6"/>
  <c r="O4" i="10"/>
  <c r="O52" i="6"/>
  <c r="O50" i="6"/>
  <c r="V42" i="8"/>
  <c r="V44" i="8"/>
  <c r="F41" i="8"/>
  <c r="R22" i="15"/>
  <c r="R25" i="15" s="1"/>
  <c r="X22" i="15"/>
  <c r="AX22" i="15"/>
  <c r="AF47" i="15"/>
  <c r="AS47" i="15"/>
  <c r="F45" i="15"/>
  <c r="AF45" i="15"/>
  <c r="AS45" i="15"/>
  <c r="J68" i="15"/>
  <c r="J71" i="15" s="1"/>
  <c r="AW68" i="15"/>
  <c r="L99" i="15"/>
  <c r="L102" i="15" s="1"/>
  <c r="Y99" i="15"/>
  <c r="Y102" i="15" s="1"/>
  <c r="AL99" i="15"/>
  <c r="AL102" i="15" s="1"/>
  <c r="O16" i="10"/>
  <c r="X68" i="15"/>
  <c r="X71" i="15" s="1"/>
  <c r="AX68" i="15"/>
  <c r="AX71" i="15" s="1"/>
  <c r="Z101" i="15"/>
  <c r="M99" i="15"/>
  <c r="M102" i="15" s="1"/>
  <c r="Z99" i="15"/>
  <c r="Z102" i="15" s="1"/>
  <c r="N45" i="10"/>
  <c r="O24" i="10"/>
  <c r="K28" i="6"/>
  <c r="N38" i="10"/>
  <c r="AL22" i="15"/>
  <c r="AL25" i="15" s="1"/>
  <c r="AW45" i="15"/>
  <c r="Z22" i="15"/>
  <c r="AZ22" i="15"/>
  <c r="AZ25" i="15" s="1"/>
  <c r="K45" i="15"/>
  <c r="Y70" i="15"/>
  <c r="AY70" i="15"/>
  <c r="L68" i="15"/>
  <c r="AY68" i="15"/>
  <c r="AC99" i="15"/>
  <c r="O32" i="10"/>
  <c r="O45" i="10"/>
  <c r="N16" i="10"/>
  <c r="J47" i="15"/>
  <c r="P22" i="15"/>
  <c r="P23" i="15" s="1"/>
  <c r="AC22" i="15"/>
  <c r="AC23" i="15" s="1"/>
  <c r="AP22" i="15"/>
  <c r="AY47" i="15"/>
  <c r="AL45" i="15"/>
  <c r="AL48" i="15" s="1"/>
  <c r="AY45" i="15"/>
  <c r="H54" i="15"/>
  <c r="M70" i="15"/>
  <c r="M68" i="15"/>
  <c r="AZ68" i="15"/>
  <c r="D99" i="15"/>
  <c r="N44" i="10"/>
  <c r="O38" i="10"/>
  <c r="F49" i="6"/>
  <c r="J45" i="15"/>
  <c r="J48" i="15" s="1"/>
  <c r="Q22" i="15"/>
  <c r="AQ22" i="15"/>
  <c r="AQ23" i="15" s="1"/>
  <c r="M45" i="15"/>
  <c r="M48" i="15" s="1"/>
  <c r="AM45" i="15"/>
  <c r="AM48" i="15" s="1"/>
  <c r="C68" i="15"/>
  <c r="F334" i="10" s="1"/>
  <c r="P68" i="15"/>
  <c r="P71" i="15" s="1"/>
  <c r="AP68" i="15"/>
  <c r="AP71" i="15" s="1"/>
  <c r="E99" i="15"/>
  <c r="E102" i="15" s="1"/>
  <c r="AE99" i="15"/>
  <c r="AE102" i="15" s="1"/>
  <c r="N32" i="10"/>
  <c r="O41" i="10"/>
  <c r="J28" i="6"/>
  <c r="N14" i="10"/>
  <c r="N4" i="10"/>
  <c r="AE22" i="15"/>
  <c r="AQ70" i="15"/>
  <c r="Q68" i="15"/>
  <c r="Q71" i="15" s="1"/>
  <c r="AF101" i="15"/>
  <c r="S99" i="15"/>
  <c r="S102" i="15" s="1"/>
  <c r="AF99" i="15"/>
  <c r="AF102" i="15" s="1"/>
  <c r="N40" i="10"/>
  <c r="O39" i="10"/>
  <c r="O28" i="6"/>
  <c r="O14" i="10"/>
  <c r="AR24" i="15"/>
  <c r="AC45" i="15"/>
  <c r="S22" i="15"/>
  <c r="AF22" i="15"/>
  <c r="D45" i="15"/>
  <c r="D48" i="15" s="1"/>
  <c r="AD45" i="15"/>
  <c r="AQ45" i="15"/>
  <c r="AQ48" i="15" s="1"/>
  <c r="R70" i="15"/>
  <c r="E68" i="15"/>
  <c r="E71" i="15" s="1"/>
  <c r="R68" i="15"/>
  <c r="R71" i="15" s="1"/>
  <c r="AR68" i="15"/>
  <c r="AR71" i="15" s="1"/>
  <c r="AJ99" i="15"/>
  <c r="N25" i="10"/>
  <c r="N30" i="10"/>
  <c r="O44" i="10"/>
  <c r="AR22" i="15"/>
  <c r="AP45" i="15"/>
  <c r="AS22" i="15"/>
  <c r="AS25" i="15" s="1"/>
  <c r="W22" i="15"/>
  <c r="AJ22" i="15"/>
  <c r="AJ25" i="15" s="1"/>
  <c r="AW22" i="15"/>
  <c r="AE47" i="15"/>
  <c r="E45" i="15"/>
  <c r="E48" i="15" s="1"/>
  <c r="AE45" i="15"/>
  <c r="AE48" i="15" s="1"/>
  <c r="AR45" i="15"/>
  <c r="AR48" i="15" s="1"/>
  <c r="F68" i="15"/>
  <c r="AS68" i="15"/>
  <c r="AS71" i="15" s="1"/>
  <c r="K99" i="15"/>
  <c r="K102" i="15" s="1"/>
  <c r="X99" i="15"/>
  <c r="X102" i="15" s="1"/>
  <c r="AK99" i="15"/>
  <c r="O40" i="10"/>
  <c r="N24" i="10"/>
  <c r="R28" i="6"/>
  <c r="O33" i="10" s="1"/>
  <c r="O30" i="10"/>
  <c r="I61" i="7"/>
  <c r="S335" i="10" s="1"/>
  <c r="H60" i="7"/>
  <c r="B63" i="7"/>
  <c r="S249" i="10" s="1"/>
  <c r="I63" i="7"/>
  <c r="S337" i="10" s="1"/>
  <c r="H41" i="8"/>
  <c r="AI44" i="8"/>
  <c r="Z73" i="10" s="1"/>
  <c r="K44" i="8"/>
  <c r="X65" i="10" s="1"/>
  <c r="AI42" i="8"/>
  <c r="Z71" i="10" s="1"/>
  <c r="AC42" i="8"/>
  <c r="C42" i="8"/>
  <c r="W42" i="8"/>
  <c r="E42" i="8"/>
  <c r="AK42" i="8"/>
  <c r="Z87" i="10" s="1"/>
  <c r="J42" i="8"/>
  <c r="X87" i="10" s="1"/>
  <c r="AE42" i="8"/>
  <c r="Q42" i="8"/>
  <c r="Y79" i="10" s="1"/>
  <c r="AB44" i="8"/>
  <c r="X42" i="8"/>
  <c r="Y42" i="8"/>
  <c r="K42" i="8"/>
  <c r="X63" i="10" s="1"/>
  <c r="P42" i="8"/>
  <c r="Y71" i="10" s="1"/>
  <c r="AL42" i="8"/>
  <c r="Z63" i="10" s="1"/>
  <c r="O44" i="8"/>
  <c r="Y65" i="10" s="1"/>
  <c r="L42" i="8"/>
  <c r="X71" i="10" s="1"/>
  <c r="AJ42" i="8"/>
  <c r="Z79" i="10" s="1"/>
  <c r="R42" i="8"/>
  <c r="Y87" i="10" s="1"/>
  <c r="AD42" i="8"/>
  <c r="D42" i="8"/>
  <c r="S60" i="7"/>
  <c r="S63" i="7" s="1"/>
  <c r="X63" i="7"/>
  <c r="T265" i="10" s="1"/>
  <c r="X61" i="7"/>
  <c r="T263" i="10" s="1"/>
  <c r="U60" i="7"/>
  <c r="U63" i="7" s="1"/>
  <c r="Y61" i="7"/>
  <c r="T279" i="10" s="1"/>
  <c r="W61" i="7"/>
  <c r="T255" i="10" s="1"/>
  <c r="R61" i="7"/>
  <c r="T359" i="10" s="1"/>
  <c r="Q61" i="7"/>
  <c r="T351" i="10" s="1"/>
  <c r="P61" i="7"/>
  <c r="T343" i="10" s="1"/>
  <c r="L61" i="7"/>
  <c r="S359" i="10" s="1"/>
  <c r="K61" i="7"/>
  <c r="S351" i="10" s="1"/>
  <c r="J61" i="7"/>
  <c r="S343" i="10" s="1"/>
  <c r="E61" i="7"/>
  <c r="S263" i="10" s="1"/>
  <c r="D61" i="7"/>
  <c r="S255" i="10" s="1"/>
  <c r="C61" i="7"/>
  <c r="S271" i="10" s="1"/>
  <c r="V61" i="7"/>
  <c r="T271" i="10" s="1"/>
  <c r="C52" i="6"/>
  <c r="V50" i="6"/>
  <c r="I28" i="6"/>
  <c r="I26" i="6"/>
  <c r="H25" i="6"/>
  <c r="F110" i="6"/>
  <c r="Y92" i="6"/>
  <c r="V92" i="6"/>
  <c r="X92" i="6"/>
  <c r="W92" i="6"/>
  <c r="P92" i="6"/>
  <c r="O92" i="6"/>
  <c r="Q92" i="6"/>
  <c r="R92" i="6"/>
  <c r="J92" i="6"/>
  <c r="H91" i="6"/>
  <c r="J94" i="6"/>
  <c r="K92" i="6"/>
  <c r="L92" i="6"/>
  <c r="D92" i="6"/>
  <c r="C92" i="6"/>
  <c r="E92" i="6"/>
  <c r="B92" i="6"/>
  <c r="W50" i="6"/>
  <c r="Y50" i="6"/>
  <c r="X50" i="6"/>
  <c r="R50" i="6"/>
  <c r="Q50" i="6"/>
  <c r="P50" i="6"/>
  <c r="I50" i="6"/>
  <c r="H49" i="6"/>
  <c r="I52" i="6"/>
  <c r="L50" i="6"/>
  <c r="K50" i="6"/>
  <c r="J50" i="6"/>
  <c r="D50" i="6"/>
  <c r="B50" i="6"/>
  <c r="C50" i="6"/>
  <c r="E50" i="6"/>
  <c r="W26" i="6"/>
  <c r="U25" i="6"/>
  <c r="Q26" i="6"/>
  <c r="O26" i="6"/>
  <c r="R26" i="6"/>
  <c r="K26" i="6"/>
  <c r="J26" i="6"/>
  <c r="L26" i="6"/>
  <c r="C26" i="6"/>
  <c r="F25" i="6"/>
  <c r="C28" i="6"/>
  <c r="D26" i="6"/>
  <c r="B26" i="6"/>
  <c r="E26" i="6"/>
  <c r="AC549" i="10"/>
  <c r="AC564" i="10"/>
  <c r="BN9" i="17" s="1"/>
  <c r="AC565" i="10"/>
  <c r="BN38" i="17" s="1"/>
  <c r="AC349" i="10"/>
  <c r="AR38" i="17" s="1"/>
  <c r="AC341" i="10"/>
  <c r="AC253" i="10"/>
  <c r="AM99" i="15"/>
  <c r="AM102" i="15" s="1"/>
  <c r="AD99" i="15"/>
  <c r="P99" i="15"/>
  <c r="P102" i="15" s="1"/>
  <c r="C101" i="15"/>
  <c r="C99" i="15"/>
  <c r="C102" i="15" s="1"/>
  <c r="D68" i="15"/>
  <c r="Z68" i="15"/>
  <c r="AK45" i="15"/>
  <c r="AK48" i="15" s="1"/>
  <c r="AZ47" i="15"/>
  <c r="AY22" i="15"/>
  <c r="AK22" i="15"/>
  <c r="AK24" i="15"/>
  <c r="Y22" i="15"/>
  <c r="V52" i="6"/>
  <c r="H62" i="7"/>
  <c r="H132" i="6"/>
  <c r="H134" i="6"/>
  <c r="U110" i="6"/>
  <c r="B61" i="7"/>
  <c r="S247" i="10" s="1"/>
  <c r="F62" i="7"/>
  <c r="F60" i="7"/>
  <c r="S62" i="7"/>
  <c r="U62" i="7"/>
  <c r="S93" i="6"/>
  <c r="U91" i="6"/>
  <c r="U93" i="6"/>
  <c r="V94" i="6"/>
  <c r="F92" i="6"/>
  <c r="S91" i="6"/>
  <c r="H93" i="6"/>
  <c r="Q94" i="6"/>
  <c r="P52" i="6"/>
  <c r="F50" i="6"/>
  <c r="H50" i="6"/>
  <c r="S25" i="6"/>
  <c r="U49" i="6"/>
  <c r="Y52" i="6"/>
  <c r="Q52" i="6"/>
  <c r="G33" i="6"/>
  <c r="S49" i="6"/>
  <c r="V26" i="6"/>
  <c r="Q28" i="6"/>
  <c r="S24" i="15"/>
  <c r="F44" i="8"/>
  <c r="F43" i="8"/>
  <c r="U41" i="8"/>
  <c r="H42" i="8"/>
  <c r="AF41" i="8"/>
  <c r="AB42" i="8"/>
  <c r="AF43" i="8"/>
  <c r="AH41" i="8"/>
  <c r="AC44" i="8"/>
  <c r="AH43" i="8"/>
  <c r="AL44" i="8"/>
  <c r="Z65" i="10" s="1"/>
  <c r="S41" i="8"/>
  <c r="O42" i="8"/>
  <c r="Y63" i="10" s="1"/>
  <c r="S43" i="8"/>
  <c r="X44" i="8"/>
  <c r="U43" i="8"/>
  <c r="H44" i="8"/>
  <c r="H43" i="8"/>
  <c r="U59" i="15"/>
  <c r="W70" i="15"/>
  <c r="H83" i="15"/>
  <c r="H82" i="15"/>
  <c r="AU8" i="15"/>
  <c r="AX24" i="15"/>
  <c r="AQ24" i="15"/>
  <c r="P101" i="15"/>
  <c r="AU34" i="15"/>
  <c r="AU36" i="15"/>
  <c r="AP47" i="15"/>
  <c r="F70" i="15"/>
  <c r="L70" i="15"/>
  <c r="C70" i="15"/>
  <c r="F336" i="10" s="1"/>
  <c r="F328" i="10" s="1"/>
  <c r="AM24" i="15"/>
  <c r="AH7" i="15"/>
  <c r="AC24" i="15"/>
  <c r="AW24" i="15"/>
  <c r="AC237" i="10"/>
  <c r="U37" i="12" s="1"/>
  <c r="AC533" i="10"/>
  <c r="AB37" i="12" s="1"/>
  <c r="AH32" i="15"/>
  <c r="H53" i="15"/>
  <c r="H57" i="15"/>
  <c r="H61" i="15"/>
  <c r="AH76" i="15"/>
  <c r="U79" i="15"/>
  <c r="AV43" i="15"/>
  <c r="AH81" i="15"/>
  <c r="K101" i="15"/>
  <c r="J101" i="15"/>
  <c r="D320" i="10" s="1"/>
  <c r="D288" i="10" s="1"/>
  <c r="AK101" i="15"/>
  <c r="AJ101" i="15"/>
  <c r="AW70" i="15"/>
  <c r="AU61" i="15"/>
  <c r="W101" i="15"/>
  <c r="AG43" i="15"/>
  <c r="V74" i="15"/>
  <c r="AU35" i="15"/>
  <c r="AU30" i="15"/>
  <c r="AU32" i="15"/>
  <c r="AK47" i="15"/>
  <c r="AH33" i="15"/>
  <c r="AH31" i="15"/>
  <c r="AH34" i="15"/>
  <c r="AI28" i="15"/>
  <c r="AX70" i="15"/>
  <c r="AU55" i="15"/>
  <c r="AU59" i="15"/>
  <c r="AU58" i="15"/>
  <c r="AU62" i="15"/>
  <c r="AH77" i="15"/>
  <c r="AH80" i="15"/>
  <c r="AH83" i="15"/>
  <c r="AH79" i="15"/>
  <c r="U78" i="15"/>
  <c r="H80" i="15"/>
  <c r="H79" i="15"/>
  <c r="H77" i="15"/>
  <c r="U54" i="15"/>
  <c r="U58" i="15"/>
  <c r="U62" i="15"/>
  <c r="U53" i="15"/>
  <c r="U61" i="15"/>
  <c r="Z70" i="15"/>
  <c r="U56" i="15"/>
  <c r="H56" i="15"/>
  <c r="H60" i="15"/>
  <c r="H59" i="15"/>
  <c r="I67" i="15"/>
  <c r="E70" i="15"/>
  <c r="H30" i="15"/>
  <c r="H34" i="15"/>
  <c r="H32" i="15"/>
  <c r="H37" i="15"/>
  <c r="H38" i="15"/>
  <c r="X25" i="15"/>
  <c r="U6" i="15"/>
  <c r="U10" i="15"/>
  <c r="R24" i="15"/>
  <c r="U8" i="15"/>
  <c r="AH6" i="15"/>
  <c r="AU7" i="15"/>
  <c r="AH10" i="15"/>
  <c r="AU11" i="15"/>
  <c r="AU33" i="15"/>
  <c r="H35" i="15"/>
  <c r="AQ47" i="15"/>
  <c r="AG44" i="15"/>
  <c r="P70" i="15"/>
  <c r="AP70" i="15"/>
  <c r="U77" i="15"/>
  <c r="L101" i="15"/>
  <c r="Y101" i="15"/>
  <c r="AU6" i="15"/>
  <c r="AU10" i="15"/>
  <c r="AU31" i="15"/>
  <c r="T51" i="15"/>
  <c r="D70" i="15"/>
  <c r="I28" i="15"/>
  <c r="AJ47" i="15"/>
  <c r="AZ45" i="15"/>
  <c r="I51" i="15"/>
  <c r="U57" i="15"/>
  <c r="S70" i="15"/>
  <c r="K68" i="15"/>
  <c r="AT44" i="15"/>
  <c r="I66" i="15"/>
  <c r="H78" i="15"/>
  <c r="E101" i="15"/>
  <c r="R102" i="15"/>
  <c r="G257" i="10" s="1"/>
  <c r="G241" i="10" s="1"/>
  <c r="AE101" i="15"/>
  <c r="AU5" i="15"/>
  <c r="H31" i="15"/>
  <c r="AX47" i="15"/>
  <c r="AU57" i="15"/>
  <c r="X70" i="15"/>
  <c r="V67" i="15"/>
  <c r="AV51" i="15"/>
  <c r="AI97" i="15"/>
  <c r="AD47" i="15"/>
  <c r="AU56" i="15"/>
  <c r="Z71" i="15"/>
  <c r="Y68" i="15"/>
  <c r="U76" i="15"/>
  <c r="H81" i="15"/>
  <c r="I98" i="15"/>
  <c r="V98" i="15"/>
  <c r="AI98" i="15"/>
  <c r="W99" i="15"/>
  <c r="AZ24" i="15"/>
  <c r="AY25" i="15"/>
  <c r="AV21" i="15"/>
  <c r="AV20" i="15"/>
  <c r="AR25" i="15"/>
  <c r="AU13" i="15"/>
  <c r="AI20" i="15"/>
  <c r="AH11" i="15"/>
  <c r="AH8" i="15"/>
  <c r="AL24" i="15"/>
  <c r="AI21" i="15"/>
  <c r="AH5" i="15"/>
  <c r="AE25" i="15"/>
  <c r="AD24" i="15"/>
  <c r="AH9" i="15"/>
  <c r="U7" i="15"/>
  <c r="W24" i="15"/>
  <c r="W25" i="15"/>
  <c r="Z24" i="15"/>
  <c r="V20" i="15"/>
  <c r="U9" i="15"/>
  <c r="T3" i="15"/>
  <c r="U5" i="15"/>
  <c r="U12" i="15"/>
  <c r="AC532" i="10"/>
  <c r="AB9" i="12" s="1"/>
  <c r="AC236" i="10"/>
  <c r="U9" i="12" s="1"/>
  <c r="V22" i="15"/>
  <c r="X23" i="15"/>
  <c r="AK23" i="15"/>
  <c r="AF25" i="15"/>
  <c r="AF23" i="15"/>
  <c r="AG3" i="15"/>
  <c r="AM22" i="15"/>
  <c r="X24" i="15"/>
  <c r="AS24" i="15"/>
  <c r="Z25" i="15"/>
  <c r="AH30" i="15"/>
  <c r="AG28" i="15"/>
  <c r="H36" i="15"/>
  <c r="I43" i="15"/>
  <c r="AT51" i="15"/>
  <c r="AU54" i="15"/>
  <c r="U60" i="15"/>
  <c r="G98" i="15"/>
  <c r="F99" i="15"/>
  <c r="T66" i="15"/>
  <c r="X101" i="15"/>
  <c r="V97" i="15"/>
  <c r="AT3" i="15"/>
  <c r="AU12" i="15"/>
  <c r="AJ24" i="15"/>
  <c r="AD22" i="15"/>
  <c r="AE24" i="15"/>
  <c r="AY24" i="15"/>
  <c r="G28" i="15"/>
  <c r="L47" i="15"/>
  <c r="AI43" i="15"/>
  <c r="AI44" i="15"/>
  <c r="AJ45" i="15"/>
  <c r="D47" i="15"/>
  <c r="F48" i="15"/>
  <c r="H55" i="15"/>
  <c r="AU60" i="15"/>
  <c r="AQ68" i="15"/>
  <c r="AT67" i="15"/>
  <c r="AH78" i="15"/>
  <c r="AF24" i="15"/>
  <c r="G51" i="15"/>
  <c r="G66" i="15"/>
  <c r="AI74" i="15"/>
  <c r="M101" i="15"/>
  <c r="P24" i="15"/>
  <c r="Y25" i="15"/>
  <c r="Y24" i="15"/>
  <c r="V21" i="15"/>
  <c r="AT21" i="15"/>
  <c r="AU9" i="15"/>
  <c r="AG21" i="15"/>
  <c r="Q24" i="15"/>
  <c r="AK25" i="15"/>
  <c r="AV28" i="15"/>
  <c r="H33" i="15"/>
  <c r="C47" i="15"/>
  <c r="AM47" i="15"/>
  <c r="L45" i="15"/>
  <c r="I44" i="15"/>
  <c r="AX45" i="15"/>
  <c r="AV44" i="15"/>
  <c r="M47" i="15"/>
  <c r="AD48" i="15"/>
  <c r="U55" i="15"/>
  <c r="T67" i="15"/>
  <c r="S68" i="15"/>
  <c r="AC102" i="15"/>
  <c r="AV66" i="15"/>
  <c r="G74" i="15"/>
  <c r="AH82" i="15"/>
  <c r="D101" i="15"/>
  <c r="D102" i="15"/>
  <c r="G97" i="15"/>
  <c r="Q101" i="15"/>
  <c r="K47" i="15"/>
  <c r="K48" i="15"/>
  <c r="S25" i="15"/>
  <c r="AP25" i="15"/>
  <c r="AT20" i="15"/>
  <c r="Q99" i="15"/>
  <c r="T98" i="15"/>
  <c r="V3" i="15"/>
  <c r="AG20" i="15"/>
  <c r="AP24" i="15"/>
  <c r="C45" i="15"/>
  <c r="G44" i="15"/>
  <c r="U11" i="15"/>
  <c r="T20" i="15"/>
  <c r="T21" i="15"/>
  <c r="F47" i="15"/>
  <c r="AT43" i="15"/>
  <c r="AP46" i="15"/>
  <c r="AR47" i="15"/>
  <c r="H58" i="15"/>
  <c r="AZ70" i="15"/>
  <c r="Q70" i="15"/>
  <c r="H76" i="15"/>
  <c r="F101" i="15"/>
  <c r="J70" i="15"/>
  <c r="AR70" i="15"/>
  <c r="R101" i="15"/>
  <c r="G256" i="10" s="1"/>
  <c r="G240" i="10" s="1"/>
  <c r="AC101" i="15"/>
  <c r="AL101" i="15"/>
  <c r="AT28" i="15"/>
  <c r="E47" i="15"/>
  <c r="AC47" i="15"/>
  <c r="AL47" i="15"/>
  <c r="AW47" i="15"/>
  <c r="AP48" i="15"/>
  <c r="V66" i="15"/>
  <c r="AV67" i="15"/>
  <c r="K70" i="15"/>
  <c r="AS70" i="15"/>
  <c r="M71" i="15"/>
  <c r="AG74" i="15"/>
  <c r="I97" i="15"/>
  <c r="S101" i="15"/>
  <c r="AD101" i="15"/>
  <c r="AM101" i="15"/>
  <c r="AT66" i="15"/>
  <c r="T97" i="15"/>
  <c r="AG98" i="15"/>
  <c r="G43" i="15"/>
  <c r="AS48" i="15"/>
  <c r="G67" i="15"/>
  <c r="AG97" i="15"/>
  <c r="AK102" i="15"/>
  <c r="W68" i="15"/>
  <c r="J99" i="15"/>
  <c r="D318" i="10" s="1"/>
  <c r="T74" i="15"/>
  <c r="S29" i="7"/>
  <c r="S30" i="7"/>
  <c r="S31" i="7"/>
  <c r="S32" i="7"/>
  <c r="S33" i="7"/>
  <c r="S28" i="7"/>
  <c r="U29" i="7"/>
  <c r="U30" i="7"/>
  <c r="U31" i="7"/>
  <c r="U32" i="7"/>
  <c r="U33" i="7"/>
  <c r="U28" i="7"/>
  <c r="F29" i="7"/>
  <c r="H29" i="7"/>
  <c r="F30" i="7"/>
  <c r="H30" i="7"/>
  <c r="F31" i="7"/>
  <c r="H31" i="7"/>
  <c r="F32" i="7"/>
  <c r="H32" i="7"/>
  <c r="F33" i="7"/>
  <c r="H33" i="7"/>
  <c r="F34" i="7"/>
  <c r="H34" i="7"/>
  <c r="F35" i="7"/>
  <c r="H35" i="7"/>
  <c r="F36" i="7"/>
  <c r="H36" i="7"/>
  <c r="H28" i="7"/>
  <c r="F28" i="7"/>
  <c r="Y39" i="7"/>
  <c r="X39" i="7"/>
  <c r="W39" i="7"/>
  <c r="T77" i="10" s="1"/>
  <c r="V39" i="7"/>
  <c r="T69" i="10" s="1"/>
  <c r="R39" i="7"/>
  <c r="T181" i="10" s="1"/>
  <c r="Q39" i="7"/>
  <c r="T173" i="10" s="1"/>
  <c r="P39" i="7"/>
  <c r="T165" i="10" s="1"/>
  <c r="O39" i="7"/>
  <c r="L39" i="7"/>
  <c r="K39" i="7"/>
  <c r="J39" i="7"/>
  <c r="I39" i="7"/>
  <c r="S157" i="10" s="1"/>
  <c r="E39" i="7"/>
  <c r="D39" i="7"/>
  <c r="S77" i="10" s="1"/>
  <c r="C39" i="7"/>
  <c r="S69" i="10" s="1"/>
  <c r="B39" i="7"/>
  <c r="S61" i="10" s="1"/>
  <c r="Y38" i="7"/>
  <c r="X38" i="7"/>
  <c r="T84" i="10" s="1"/>
  <c r="W38" i="7"/>
  <c r="T76" i="10" s="1"/>
  <c r="V38" i="7"/>
  <c r="T68" i="10" s="1"/>
  <c r="R38" i="7"/>
  <c r="Q38" i="7"/>
  <c r="P38" i="7"/>
  <c r="O38" i="7"/>
  <c r="T156" i="10" s="1"/>
  <c r="L38" i="7"/>
  <c r="K38" i="7"/>
  <c r="S172" i="10" s="1"/>
  <c r="J38" i="7"/>
  <c r="I38" i="7"/>
  <c r="E38" i="7"/>
  <c r="S84" i="10" s="1"/>
  <c r="D38" i="7"/>
  <c r="S76" i="10" s="1"/>
  <c r="C38" i="7"/>
  <c r="S68" i="10" s="1"/>
  <c r="B38" i="7"/>
  <c r="S60" i="10" s="1"/>
  <c r="T51" i="14"/>
  <c r="V51" i="14"/>
  <c r="AT12" i="14"/>
  <c r="AV12" i="14"/>
  <c r="G50" i="14"/>
  <c r="I50" i="14"/>
  <c r="G51" i="14"/>
  <c r="I51" i="14"/>
  <c r="G52" i="14"/>
  <c r="I52" i="14"/>
  <c r="AM80" i="14"/>
  <c r="AL80" i="14"/>
  <c r="AK80" i="14"/>
  <c r="AJ80" i="14"/>
  <c r="AF80" i="14"/>
  <c r="AE80" i="14"/>
  <c r="AD80" i="14"/>
  <c r="AC80" i="14"/>
  <c r="Z80" i="14"/>
  <c r="Z82" i="14" s="1"/>
  <c r="B183" i="10" s="1"/>
  <c r="Y80" i="14"/>
  <c r="Y81" i="14" s="1"/>
  <c r="Y82" i="14" s="1"/>
  <c r="X80" i="14"/>
  <c r="X81" i="14" s="1"/>
  <c r="X82" i="14" s="1"/>
  <c r="W80" i="14"/>
  <c r="S80" i="14"/>
  <c r="R80" i="14"/>
  <c r="Q80" i="14"/>
  <c r="P80" i="14"/>
  <c r="M80" i="14"/>
  <c r="L80" i="14"/>
  <c r="K80" i="14"/>
  <c r="J80" i="14"/>
  <c r="F80" i="14"/>
  <c r="E80" i="14"/>
  <c r="D80" i="14"/>
  <c r="C80" i="14"/>
  <c r="AM79" i="14"/>
  <c r="AL79" i="14"/>
  <c r="AK79" i="14"/>
  <c r="AJ79" i="14"/>
  <c r="AF79" i="14"/>
  <c r="AE79" i="14"/>
  <c r="AD79" i="14"/>
  <c r="AC79" i="14"/>
  <c r="Z79" i="14"/>
  <c r="Z83" i="14" s="1"/>
  <c r="Y79" i="14"/>
  <c r="Y83" i="14" s="1"/>
  <c r="X79" i="14"/>
  <c r="X83" i="14" s="1"/>
  <c r="W79" i="14"/>
  <c r="S79" i="14"/>
  <c r="R79" i="14"/>
  <c r="Q79" i="14"/>
  <c r="P79" i="14"/>
  <c r="M79" i="14"/>
  <c r="L79" i="14"/>
  <c r="K79" i="14"/>
  <c r="J79" i="14"/>
  <c r="F79" i="14"/>
  <c r="E79" i="14"/>
  <c r="D79" i="14"/>
  <c r="C79" i="14"/>
  <c r="AI75" i="14"/>
  <c r="AG75" i="14"/>
  <c r="I75" i="14"/>
  <c r="G75" i="14"/>
  <c r="AI74" i="14"/>
  <c r="AG74" i="14"/>
  <c r="I74" i="14"/>
  <c r="G74" i="14"/>
  <c r="AI73" i="14"/>
  <c r="AG73" i="14"/>
  <c r="V73" i="14"/>
  <c r="T73" i="14"/>
  <c r="I73" i="14"/>
  <c r="G73" i="14"/>
  <c r="AI72" i="14"/>
  <c r="AG72" i="14"/>
  <c r="V72" i="14"/>
  <c r="T72" i="14"/>
  <c r="I72" i="14"/>
  <c r="G72" i="14"/>
  <c r="AI71" i="14"/>
  <c r="AG71" i="14"/>
  <c r="V71" i="14"/>
  <c r="T71" i="14"/>
  <c r="I71" i="14"/>
  <c r="G71" i="14"/>
  <c r="AI70" i="14"/>
  <c r="AG70" i="14"/>
  <c r="V70" i="14"/>
  <c r="T70" i="14"/>
  <c r="I70" i="14"/>
  <c r="G70" i="14"/>
  <c r="AZ61" i="14"/>
  <c r="AY61" i="14"/>
  <c r="AX61" i="14"/>
  <c r="AW61" i="14"/>
  <c r="AS61" i="14"/>
  <c r="AR61" i="14"/>
  <c r="AQ61" i="14"/>
  <c r="AP61" i="14"/>
  <c r="Z61" i="14"/>
  <c r="Z62" i="14" s="1"/>
  <c r="Z63" i="14" s="1"/>
  <c r="Y61" i="14"/>
  <c r="X61" i="14"/>
  <c r="W61" i="14"/>
  <c r="W62" i="14" s="1"/>
  <c r="S61" i="14"/>
  <c r="R61" i="14"/>
  <c r="Q61" i="14"/>
  <c r="P61" i="14"/>
  <c r="M61" i="14"/>
  <c r="L61" i="14"/>
  <c r="K61" i="14"/>
  <c r="J61" i="14"/>
  <c r="F61" i="14"/>
  <c r="E61" i="14"/>
  <c r="D61" i="14"/>
  <c r="C61" i="14"/>
  <c r="AZ60" i="14"/>
  <c r="AY60" i="14"/>
  <c r="AX60" i="14"/>
  <c r="AW60" i="14"/>
  <c r="AS60" i="14"/>
  <c r="AR60" i="14"/>
  <c r="AQ60" i="14"/>
  <c r="AP60" i="14"/>
  <c r="Z60" i="14"/>
  <c r="Y60" i="14"/>
  <c r="Y64" i="14" s="1"/>
  <c r="X60" i="14"/>
  <c r="W60" i="14"/>
  <c r="S60" i="14"/>
  <c r="R60" i="14"/>
  <c r="Q60" i="14"/>
  <c r="P60" i="14"/>
  <c r="M60" i="14"/>
  <c r="L60" i="14"/>
  <c r="K60" i="14"/>
  <c r="J60" i="14"/>
  <c r="F60" i="14"/>
  <c r="E60" i="14"/>
  <c r="D60" i="14"/>
  <c r="C60" i="14"/>
  <c r="AV51" i="14"/>
  <c r="AT51" i="14"/>
  <c r="AV50" i="14"/>
  <c r="AT50" i="14"/>
  <c r="V50" i="14"/>
  <c r="T50" i="14"/>
  <c r="AV49" i="14"/>
  <c r="AT49" i="14"/>
  <c r="V49" i="14"/>
  <c r="T49" i="14"/>
  <c r="I49" i="14"/>
  <c r="G49" i="14"/>
  <c r="AV48" i="14"/>
  <c r="AT48" i="14"/>
  <c r="V48" i="14"/>
  <c r="T48" i="14"/>
  <c r="I48" i="14"/>
  <c r="G48" i="14"/>
  <c r="AV47" i="14"/>
  <c r="AT47" i="14"/>
  <c r="V47" i="14"/>
  <c r="T47" i="14"/>
  <c r="I47" i="14"/>
  <c r="G47" i="14"/>
  <c r="AV46" i="14"/>
  <c r="AT46" i="14"/>
  <c r="V46" i="14"/>
  <c r="T46" i="14"/>
  <c r="I46" i="14"/>
  <c r="G46" i="14"/>
  <c r="AV45" i="14"/>
  <c r="AT45" i="14"/>
  <c r="V45" i="14"/>
  <c r="T45" i="14"/>
  <c r="I45" i="14"/>
  <c r="G45" i="14"/>
  <c r="AZ36" i="14"/>
  <c r="AY36" i="14"/>
  <c r="AX36" i="14"/>
  <c r="AW36" i="14"/>
  <c r="AS36" i="14"/>
  <c r="AS37" i="14" s="1"/>
  <c r="AS38" i="14" s="1"/>
  <c r="AR36" i="14"/>
  <c r="AQ36" i="14"/>
  <c r="AP36" i="14"/>
  <c r="AM36" i="14"/>
  <c r="AL36" i="14"/>
  <c r="AK36" i="14"/>
  <c r="AJ36" i="14"/>
  <c r="AF36" i="14"/>
  <c r="AE36" i="14"/>
  <c r="AE37" i="14" s="1"/>
  <c r="AE38" i="14" s="1"/>
  <c r="AD36" i="14"/>
  <c r="AD37" i="14" s="1"/>
  <c r="AD38" i="14" s="1"/>
  <c r="AC36" i="14"/>
  <c r="AC37" i="14" s="1"/>
  <c r="M36" i="14"/>
  <c r="L36" i="14"/>
  <c r="K36" i="14"/>
  <c r="J36" i="14"/>
  <c r="F36" i="14"/>
  <c r="F37" i="14" s="1"/>
  <c r="F38" i="14" s="1"/>
  <c r="E36" i="14"/>
  <c r="E37" i="14" s="1"/>
  <c r="E38" i="14" s="1"/>
  <c r="D36" i="14"/>
  <c r="D37" i="14" s="1"/>
  <c r="D38" i="14" s="1"/>
  <c r="C36" i="14"/>
  <c r="C37" i="14" s="1"/>
  <c r="C38" i="14" s="1"/>
  <c r="AZ35" i="14"/>
  <c r="AY35" i="14"/>
  <c r="AX35" i="14"/>
  <c r="AW35" i="14"/>
  <c r="AS35" i="14"/>
  <c r="AR35" i="14"/>
  <c r="AR39" i="14" s="1"/>
  <c r="AQ35" i="14"/>
  <c r="AP35" i="14"/>
  <c r="AM35" i="14"/>
  <c r="AL35" i="14"/>
  <c r="AK35" i="14"/>
  <c r="AJ35" i="14"/>
  <c r="AF35" i="14"/>
  <c r="AF39" i="14" s="1"/>
  <c r="AE35" i="14"/>
  <c r="AD35" i="14"/>
  <c r="AC35" i="14"/>
  <c r="M35" i="14"/>
  <c r="L35" i="14"/>
  <c r="K35" i="14"/>
  <c r="J35" i="14"/>
  <c r="F35" i="14"/>
  <c r="E35" i="14"/>
  <c r="D35" i="14"/>
  <c r="C35" i="14"/>
  <c r="AV33" i="14"/>
  <c r="AT33" i="14"/>
  <c r="AV32" i="14"/>
  <c r="AT32" i="14"/>
  <c r="AV31" i="14"/>
  <c r="AT31" i="14"/>
  <c r="AV30" i="14"/>
  <c r="AT30" i="14"/>
  <c r="I30" i="14"/>
  <c r="G30" i="14"/>
  <c r="AV29" i="14"/>
  <c r="AT29" i="14"/>
  <c r="I29" i="14"/>
  <c r="G29" i="14"/>
  <c r="AV28" i="14"/>
  <c r="AT28" i="14"/>
  <c r="AI28" i="14"/>
  <c r="AG28" i="14"/>
  <c r="I28" i="14"/>
  <c r="G28" i="14"/>
  <c r="AV27" i="14"/>
  <c r="AT27" i="14"/>
  <c r="AI27" i="14"/>
  <c r="AG27" i="14"/>
  <c r="I27" i="14"/>
  <c r="G27" i="14"/>
  <c r="AV26" i="14"/>
  <c r="AT26" i="14"/>
  <c r="AI26" i="14"/>
  <c r="AG26" i="14"/>
  <c r="I26" i="14"/>
  <c r="G26" i="14"/>
  <c r="AV25" i="14"/>
  <c r="AT25" i="14"/>
  <c r="AI25" i="14"/>
  <c r="AG25" i="14"/>
  <c r="I25" i="14"/>
  <c r="G25" i="14"/>
  <c r="AV24" i="14"/>
  <c r="AT24" i="14"/>
  <c r="AI24" i="14"/>
  <c r="AG24" i="14"/>
  <c r="I24" i="14"/>
  <c r="G24" i="14"/>
  <c r="AZ15" i="14"/>
  <c r="AY15" i="14"/>
  <c r="AX15" i="14"/>
  <c r="AW15" i="14"/>
  <c r="AS15" i="14"/>
  <c r="AR15" i="14"/>
  <c r="AQ15" i="14"/>
  <c r="AP15" i="14"/>
  <c r="AM15" i="14"/>
  <c r="AL15" i="14"/>
  <c r="AK15" i="14"/>
  <c r="AJ15" i="14"/>
  <c r="AF15" i="14"/>
  <c r="AE15" i="14"/>
  <c r="AD15" i="14"/>
  <c r="AC15" i="14"/>
  <c r="Z15" i="14"/>
  <c r="Y15" i="14"/>
  <c r="X15" i="14"/>
  <c r="W15" i="14"/>
  <c r="S15" i="14"/>
  <c r="R15" i="14"/>
  <c r="Q15" i="14"/>
  <c r="P15" i="14"/>
  <c r="AZ14" i="14"/>
  <c r="AY14" i="14"/>
  <c r="AX14" i="14"/>
  <c r="AW14" i="14"/>
  <c r="AS14" i="14"/>
  <c r="AR14" i="14"/>
  <c r="AQ14" i="14"/>
  <c r="AP14" i="14"/>
  <c r="AM14" i="14"/>
  <c r="AL14" i="14"/>
  <c r="AK14" i="14"/>
  <c r="AJ14" i="14"/>
  <c r="AF14" i="14"/>
  <c r="AE14" i="14"/>
  <c r="AD14" i="14"/>
  <c r="AC14" i="14"/>
  <c r="Z14" i="14"/>
  <c r="I180" i="10" s="1"/>
  <c r="Y14" i="14"/>
  <c r="I172" i="10" s="1"/>
  <c r="X14" i="14"/>
  <c r="I164" i="10" s="1"/>
  <c r="W14" i="14"/>
  <c r="I156" i="10" s="1"/>
  <c r="S14" i="14"/>
  <c r="R14" i="14"/>
  <c r="Q14" i="14"/>
  <c r="P14" i="14"/>
  <c r="AV11" i="14"/>
  <c r="AT11" i="14"/>
  <c r="T11" i="14"/>
  <c r="AV10" i="14"/>
  <c r="AT10" i="14"/>
  <c r="AI10" i="14"/>
  <c r="AG10" i="14"/>
  <c r="V10" i="14"/>
  <c r="T10" i="14"/>
  <c r="AV9" i="14"/>
  <c r="AT9" i="14"/>
  <c r="AI9" i="14"/>
  <c r="AG9" i="14"/>
  <c r="V9" i="14"/>
  <c r="T9" i="14"/>
  <c r="AV8" i="14"/>
  <c r="AT8" i="14"/>
  <c r="AI8" i="14"/>
  <c r="AG8" i="14"/>
  <c r="V8" i="14"/>
  <c r="T8" i="14"/>
  <c r="AV7" i="14"/>
  <c r="AT7" i="14"/>
  <c r="AI7" i="14"/>
  <c r="AG7" i="14"/>
  <c r="V7" i="14"/>
  <c r="T7" i="14"/>
  <c r="AV6" i="14"/>
  <c r="AT6" i="14"/>
  <c r="AI6" i="14"/>
  <c r="AG6" i="14"/>
  <c r="V6" i="14"/>
  <c r="T6" i="14"/>
  <c r="AV5" i="14"/>
  <c r="AT5" i="14"/>
  <c r="AI5" i="14"/>
  <c r="AG5" i="14"/>
  <c r="V5" i="14"/>
  <c r="T5" i="14"/>
  <c r="AG37" i="17" l="1"/>
  <c r="S238" i="10"/>
  <c r="S239" i="10" s="1"/>
  <c r="S326" i="10"/>
  <c r="S327" i="10" s="1"/>
  <c r="AI24" i="17"/>
  <c r="AC263" i="10"/>
  <c r="AC265" i="10"/>
  <c r="AG24" i="17"/>
  <c r="AC247" i="10"/>
  <c r="S329" i="10"/>
  <c r="AG10" i="17"/>
  <c r="AG11" i="17"/>
  <c r="AS11" i="17"/>
  <c r="AS10" i="17"/>
  <c r="S241" i="10"/>
  <c r="AJ24" i="17"/>
  <c r="AC271" i="10"/>
  <c r="AC273" i="10"/>
  <c r="AS37" i="17"/>
  <c r="AK24" i="17"/>
  <c r="AC279" i="10"/>
  <c r="AC281" i="10"/>
  <c r="T326" i="10"/>
  <c r="T327" i="10" s="1"/>
  <c r="AC358" i="10"/>
  <c r="T329" i="10"/>
  <c r="AO36" i="17"/>
  <c r="AO32" i="17"/>
  <c r="AO34" i="17"/>
  <c r="D286" i="10"/>
  <c r="AC318" i="10"/>
  <c r="AC320" i="10"/>
  <c r="AO9" i="17"/>
  <c r="AC321" i="10"/>
  <c r="AC288" i="10"/>
  <c r="V9" i="12"/>
  <c r="C69" i="15"/>
  <c r="F335" i="10" s="1"/>
  <c r="F326" i="10"/>
  <c r="F327" i="10" s="1"/>
  <c r="AC334" i="10"/>
  <c r="AC337" i="10" s="1"/>
  <c r="C71" i="15"/>
  <c r="F337" i="10" s="1"/>
  <c r="F329" i="10" s="1"/>
  <c r="AP9" i="17"/>
  <c r="AC336" i="10"/>
  <c r="AP36" i="17"/>
  <c r="AP34" i="17"/>
  <c r="AP32" i="17"/>
  <c r="G68" i="15"/>
  <c r="BN36" i="17"/>
  <c r="BN34" i="17"/>
  <c r="BN32" i="17"/>
  <c r="BN11" i="17"/>
  <c r="BN10" i="17"/>
  <c r="AC552" i="10"/>
  <c r="BL38" i="17"/>
  <c r="Z16" i="14"/>
  <c r="I181" i="10"/>
  <c r="I148" i="10"/>
  <c r="W16" i="14"/>
  <c r="I158" i="10" s="1"/>
  <c r="I157" i="10"/>
  <c r="X16" i="14"/>
  <c r="I165" i="10"/>
  <c r="Y16" i="14"/>
  <c r="I173" i="10"/>
  <c r="AC344" i="10"/>
  <c r="AQ38" i="17"/>
  <c r="AR32" i="17"/>
  <c r="AR36" i="17"/>
  <c r="AR34" i="17"/>
  <c r="AR11" i="17"/>
  <c r="AC256" i="10"/>
  <c r="AH38" i="17"/>
  <c r="F42" i="8"/>
  <c r="Y57" i="10"/>
  <c r="Z57" i="10"/>
  <c r="X57" i="10"/>
  <c r="N150" i="10"/>
  <c r="N151" i="10" s="1"/>
  <c r="N167" i="10"/>
  <c r="N175" i="10"/>
  <c r="N177" i="10"/>
  <c r="O183" i="10"/>
  <c r="O169" i="10"/>
  <c r="O159" i="10"/>
  <c r="O161" i="10"/>
  <c r="N159" i="10"/>
  <c r="O167" i="10"/>
  <c r="O152" i="10"/>
  <c r="N169" i="10"/>
  <c r="N183" i="10"/>
  <c r="N185" i="10"/>
  <c r="N152" i="10"/>
  <c r="O175" i="10"/>
  <c r="T30" i="7"/>
  <c r="S52" i="10"/>
  <c r="T157" i="10"/>
  <c r="T149" i="10" s="1"/>
  <c r="T172" i="10"/>
  <c r="T180" i="10"/>
  <c r="E40" i="7"/>
  <c r="S85" i="10"/>
  <c r="S53" i="10" s="1"/>
  <c r="T164" i="10"/>
  <c r="S156" i="10"/>
  <c r="S164" i="10"/>
  <c r="S165" i="10"/>
  <c r="S173" i="10"/>
  <c r="X40" i="7"/>
  <c r="T86" i="10" s="1"/>
  <c r="T85" i="10"/>
  <c r="S180" i="10"/>
  <c r="Y42" i="7"/>
  <c r="T64" i="10" s="1"/>
  <c r="T60" i="10"/>
  <c r="T52" i="10" s="1"/>
  <c r="S181" i="10"/>
  <c r="Y40" i="7"/>
  <c r="Y43" i="7" s="1"/>
  <c r="T65" i="10" s="1"/>
  <c r="T61" i="10"/>
  <c r="D71" i="15"/>
  <c r="J69" i="15"/>
  <c r="P25" i="15"/>
  <c r="T22" i="15"/>
  <c r="AV22" i="15"/>
  <c r="AW25" i="15"/>
  <c r="AW23" i="15"/>
  <c r="AT22" i="15"/>
  <c r="AT23" i="15" s="1"/>
  <c r="AQ25" i="15"/>
  <c r="AC100" i="15"/>
  <c r="AG99" i="15"/>
  <c r="AX25" i="15"/>
  <c r="AW46" i="15"/>
  <c r="AC25" i="15"/>
  <c r="I68" i="15"/>
  <c r="I69" i="15" s="1"/>
  <c r="AT45" i="15"/>
  <c r="AW48" i="15"/>
  <c r="AC46" i="15"/>
  <c r="AC48" i="15"/>
  <c r="AI99" i="15"/>
  <c r="AJ102" i="15"/>
  <c r="AV68" i="15"/>
  <c r="AW69" i="15"/>
  <c r="AW71" i="15"/>
  <c r="L71" i="15"/>
  <c r="AG45" i="15"/>
  <c r="AC460" i="10"/>
  <c r="BC9" i="17" s="1"/>
  <c r="W83" i="14"/>
  <c r="B56" i="10" s="1"/>
  <c r="H70" i="14"/>
  <c r="AU24" i="14"/>
  <c r="AU5" i="14"/>
  <c r="H92" i="6"/>
  <c r="H63" i="7"/>
  <c r="H61" i="7"/>
  <c r="T33" i="7"/>
  <c r="AM16" i="14"/>
  <c r="S64" i="14"/>
  <c r="S62" i="14"/>
  <c r="S65" i="14" s="1"/>
  <c r="AS62" i="14"/>
  <c r="K83" i="14"/>
  <c r="K81" i="14"/>
  <c r="AK81" i="14"/>
  <c r="AK84" i="14" s="1"/>
  <c r="T68" i="15"/>
  <c r="AM23" i="15"/>
  <c r="V99" i="15"/>
  <c r="N31" i="10"/>
  <c r="K100" i="15"/>
  <c r="AE46" i="15"/>
  <c r="AJ23" i="15"/>
  <c r="AR23" i="15"/>
  <c r="AJ100" i="15"/>
  <c r="O6" i="10"/>
  <c r="O7" i="10" s="1"/>
  <c r="D100" i="15"/>
  <c r="AY69" i="15"/>
  <c r="K46" i="15"/>
  <c r="AL23" i="15"/>
  <c r="Z100" i="15"/>
  <c r="P16" i="14"/>
  <c r="J62" i="14"/>
  <c r="L83" i="14"/>
  <c r="AL83" i="14"/>
  <c r="F100" i="15"/>
  <c r="N15" i="10"/>
  <c r="O23" i="10"/>
  <c r="N33" i="10"/>
  <c r="O17" i="10"/>
  <c r="S100" i="15"/>
  <c r="AE23" i="15"/>
  <c r="AP69" i="15"/>
  <c r="AM46" i="15"/>
  <c r="J46" i="15"/>
  <c r="AY46" i="15"/>
  <c r="X69" i="15"/>
  <c r="Y100" i="15"/>
  <c r="AS46" i="15"/>
  <c r="Q16" i="14"/>
  <c r="AD16" i="14"/>
  <c r="AQ16" i="14"/>
  <c r="AQ19" i="14" s="1"/>
  <c r="K64" i="14"/>
  <c r="K62" i="14"/>
  <c r="AX62" i="14"/>
  <c r="M83" i="14"/>
  <c r="M81" i="14"/>
  <c r="AM81" i="14"/>
  <c r="O25" i="10"/>
  <c r="AS69" i="15"/>
  <c r="E46" i="15"/>
  <c r="W23" i="15"/>
  <c r="AR69" i="15"/>
  <c r="AE100" i="15"/>
  <c r="AZ69" i="15"/>
  <c r="L69" i="15"/>
  <c r="AZ23" i="15"/>
  <c r="N41" i="10"/>
  <c r="M100" i="15"/>
  <c r="AW37" i="14"/>
  <c r="L62" i="14"/>
  <c r="AY62" i="14"/>
  <c r="P81" i="14"/>
  <c r="Q102" i="15"/>
  <c r="N46" i="10"/>
  <c r="N39" i="10"/>
  <c r="O46" i="10"/>
  <c r="AQ46" i="15"/>
  <c r="S23" i="15"/>
  <c r="N6" i="10"/>
  <c r="N7" i="10" s="1"/>
  <c r="P69" i="15"/>
  <c r="M46" i="15"/>
  <c r="AL46" i="15"/>
  <c r="O8" i="10"/>
  <c r="L100" i="15"/>
  <c r="AF46" i="15"/>
  <c r="AX23" i="15"/>
  <c r="AR16" i="14"/>
  <c r="AR19" i="14" s="1"/>
  <c r="S16" i="14"/>
  <c r="AF16" i="14"/>
  <c r="AS16" i="14"/>
  <c r="AK39" i="14"/>
  <c r="K37" i="14"/>
  <c r="AK37" i="14"/>
  <c r="AX37" i="14"/>
  <c r="AZ62" i="14"/>
  <c r="Q83" i="14"/>
  <c r="D81" i="14"/>
  <c r="Q81" i="14"/>
  <c r="Q84" i="14" s="1"/>
  <c r="AD81" i="14"/>
  <c r="AD84" i="14" s="1"/>
  <c r="AG47" i="15"/>
  <c r="AK100" i="15"/>
  <c r="F69" i="15"/>
  <c r="AS23" i="15"/>
  <c r="R69" i="15"/>
  <c r="N17" i="10"/>
  <c r="R100" i="15"/>
  <c r="G255" i="10" s="1"/>
  <c r="M69" i="15"/>
  <c r="Z23" i="15"/>
  <c r="AL39" i="14"/>
  <c r="L37" i="14"/>
  <c r="AL37" i="14"/>
  <c r="AL40" i="14" s="1"/>
  <c r="AP62" i="14"/>
  <c r="AE83" i="14"/>
  <c r="AC436" i="10"/>
  <c r="BA9" i="17" s="1"/>
  <c r="E81" i="14"/>
  <c r="AE81" i="14"/>
  <c r="O31" i="10"/>
  <c r="AD46" i="15"/>
  <c r="Q69" i="15"/>
  <c r="F46" i="15"/>
  <c r="AK16" i="14"/>
  <c r="AK19" i="14" s="1"/>
  <c r="AX16" i="14"/>
  <c r="AX19" i="14" s="1"/>
  <c r="M39" i="14"/>
  <c r="AM39" i="14"/>
  <c r="M37" i="14"/>
  <c r="AM37" i="14"/>
  <c r="AM40" i="14" s="1"/>
  <c r="AQ64" i="14"/>
  <c r="Q62" i="14"/>
  <c r="AQ62" i="14"/>
  <c r="AC444" i="10"/>
  <c r="BB9" i="17" s="1"/>
  <c r="F81" i="14"/>
  <c r="F84" i="14" s="1"/>
  <c r="S81" i="14"/>
  <c r="S84" i="14" s="1"/>
  <c r="AF81" i="14"/>
  <c r="AF84" i="14" s="1"/>
  <c r="G52" i="10"/>
  <c r="B53" i="10"/>
  <c r="Y69" i="15"/>
  <c r="X100" i="15"/>
  <c r="AR46" i="15"/>
  <c r="E69" i="15"/>
  <c r="E100" i="15"/>
  <c r="AW16" i="14"/>
  <c r="AL16" i="14"/>
  <c r="AL19" i="14" s="1"/>
  <c r="AR64" i="14"/>
  <c r="R62" i="14"/>
  <c r="R65" i="14" s="1"/>
  <c r="AR62" i="14"/>
  <c r="J81" i="14"/>
  <c r="AJ81" i="14"/>
  <c r="C52" i="10"/>
  <c r="AD23" i="15"/>
  <c r="N23" i="10"/>
  <c r="O15" i="10"/>
  <c r="D46" i="15"/>
  <c r="AF100" i="15"/>
  <c r="Q23" i="15"/>
  <c r="AP23" i="15"/>
  <c r="N8" i="10"/>
  <c r="AX69" i="15"/>
  <c r="AL100" i="15"/>
  <c r="R23" i="15"/>
  <c r="AF42" i="8"/>
  <c r="S42" i="8"/>
  <c r="U42" i="8"/>
  <c r="AH42" i="8"/>
  <c r="S61" i="7"/>
  <c r="U61" i="7"/>
  <c r="P40" i="7"/>
  <c r="B42" i="7"/>
  <c r="S64" i="10" s="1"/>
  <c r="Q40" i="7"/>
  <c r="T174" i="10" s="1"/>
  <c r="R40" i="7"/>
  <c r="T182" i="10" s="1"/>
  <c r="I40" i="7"/>
  <c r="O42" i="7"/>
  <c r="H26" i="6"/>
  <c r="F26" i="6"/>
  <c r="U26" i="6"/>
  <c r="U92" i="6"/>
  <c r="H94" i="6"/>
  <c r="AC550" i="10"/>
  <c r="BL24" i="17" s="1"/>
  <c r="V33" i="12"/>
  <c r="V31" i="12"/>
  <c r="V35" i="12"/>
  <c r="AC566" i="10"/>
  <c r="AC536" i="10"/>
  <c r="AC568" i="10"/>
  <c r="AC324" i="10"/>
  <c r="W9" i="12" s="1"/>
  <c r="AC350" i="10"/>
  <c r="AC352" i="10"/>
  <c r="AC342" i="10"/>
  <c r="AC325" i="10"/>
  <c r="W37" i="12" s="1"/>
  <c r="AC254" i="10"/>
  <c r="J102" i="15"/>
  <c r="D321" i="10" s="1"/>
  <c r="D289" i="10" s="1"/>
  <c r="AM100" i="15"/>
  <c r="AD100" i="15"/>
  <c r="AD102" i="15"/>
  <c r="P100" i="15"/>
  <c r="C100" i="15"/>
  <c r="K69" i="15"/>
  <c r="D69" i="15"/>
  <c r="Z69" i="15"/>
  <c r="AK46" i="15"/>
  <c r="AZ46" i="15"/>
  <c r="AB33" i="12"/>
  <c r="AY23" i="15"/>
  <c r="Y23" i="15"/>
  <c r="F62" i="14"/>
  <c r="F65" i="14" s="1"/>
  <c r="AZ16" i="14"/>
  <c r="AZ19" i="14" s="1"/>
  <c r="T3" i="14"/>
  <c r="R16" i="14"/>
  <c r="X10" i="12"/>
  <c r="AC240" i="10"/>
  <c r="X35" i="12"/>
  <c r="X31" i="12"/>
  <c r="X33" i="12"/>
  <c r="C53" i="10"/>
  <c r="D52" i="10"/>
  <c r="I42" i="7"/>
  <c r="W42" i="7"/>
  <c r="T80" i="10" s="1"/>
  <c r="K42" i="7"/>
  <c r="V42" i="7"/>
  <c r="T72" i="10" s="1"/>
  <c r="F38" i="7"/>
  <c r="H26" i="7"/>
  <c r="F61" i="7"/>
  <c r="U26" i="7"/>
  <c r="U38" i="7"/>
  <c r="S26" i="7"/>
  <c r="S38" i="7"/>
  <c r="R42" i="7"/>
  <c r="R43" i="7"/>
  <c r="T99" i="6"/>
  <c r="U107" i="6"/>
  <c r="H107" i="6"/>
  <c r="U50" i="6"/>
  <c r="S26" i="6"/>
  <c r="G99" i="6"/>
  <c r="S50" i="6"/>
  <c r="F63" i="7"/>
  <c r="J53" i="10"/>
  <c r="T28" i="7"/>
  <c r="J52" i="10"/>
  <c r="U94" i="6"/>
  <c r="S92" i="6"/>
  <c r="S94" i="6"/>
  <c r="T33" i="6"/>
  <c r="T5" i="6"/>
  <c r="G5" i="6"/>
  <c r="U44" i="8"/>
  <c r="AH44" i="8"/>
  <c r="AF44" i="8"/>
  <c r="S44" i="8"/>
  <c r="H27" i="8"/>
  <c r="G29" i="8"/>
  <c r="F27" i="8"/>
  <c r="W102" i="15"/>
  <c r="I70" i="15"/>
  <c r="W100" i="15"/>
  <c r="AI101" i="15"/>
  <c r="K71" i="15"/>
  <c r="V24" i="15"/>
  <c r="F102" i="15"/>
  <c r="Y71" i="15"/>
  <c r="AZ48" i="15"/>
  <c r="G99" i="15"/>
  <c r="AM25" i="15"/>
  <c r="AV24" i="15"/>
  <c r="AI22" i="15"/>
  <c r="AI24" i="15"/>
  <c r="AD25" i="15"/>
  <c r="AX46" i="15"/>
  <c r="AX48" i="15"/>
  <c r="G47" i="15"/>
  <c r="G70" i="15"/>
  <c r="G71" i="15"/>
  <c r="T23" i="15"/>
  <c r="AV47" i="15"/>
  <c r="W69" i="15"/>
  <c r="V68" i="15"/>
  <c r="AV45" i="15"/>
  <c r="AG101" i="15"/>
  <c r="T25" i="15"/>
  <c r="T24" i="15"/>
  <c r="S69" i="15"/>
  <c r="S71" i="15"/>
  <c r="L46" i="15"/>
  <c r="I45" i="15"/>
  <c r="V23" i="15"/>
  <c r="AG24" i="15"/>
  <c r="AI47" i="15"/>
  <c r="T99" i="15"/>
  <c r="Q100" i="15"/>
  <c r="V101" i="15"/>
  <c r="I47" i="15"/>
  <c r="AG22" i="15"/>
  <c r="I99" i="15"/>
  <c r="J100" i="15"/>
  <c r="D319" i="10" s="1"/>
  <c r="V70" i="15"/>
  <c r="G45" i="15"/>
  <c r="C46" i="15"/>
  <c r="C48" i="15"/>
  <c r="AV70" i="15"/>
  <c r="AV71" i="15"/>
  <c r="AI45" i="15"/>
  <c r="AJ46" i="15"/>
  <c r="AJ48" i="15"/>
  <c r="G69" i="15"/>
  <c r="V25" i="15"/>
  <c r="I101" i="15"/>
  <c r="T101" i="15"/>
  <c r="AT47" i="15"/>
  <c r="AT24" i="15"/>
  <c r="G101" i="15"/>
  <c r="AT70" i="15"/>
  <c r="W71" i="15"/>
  <c r="AT68" i="15"/>
  <c r="AQ69" i="15"/>
  <c r="AQ71" i="15"/>
  <c r="T70" i="15"/>
  <c r="F52" i="10"/>
  <c r="E52" i="10"/>
  <c r="P42" i="7"/>
  <c r="Q42" i="7"/>
  <c r="E42" i="7"/>
  <c r="S88" i="10" s="1"/>
  <c r="D42" i="7"/>
  <c r="S80" i="10" s="1"/>
  <c r="G34" i="7"/>
  <c r="G30" i="7"/>
  <c r="T31" i="7"/>
  <c r="T29" i="7"/>
  <c r="L42" i="7"/>
  <c r="H38" i="7"/>
  <c r="X42" i="7"/>
  <c r="T88" i="10" s="1"/>
  <c r="T32" i="7"/>
  <c r="J42" i="7"/>
  <c r="G29" i="7"/>
  <c r="H39" i="7"/>
  <c r="G36" i="7"/>
  <c r="G32" i="7"/>
  <c r="G31" i="7"/>
  <c r="C42" i="7"/>
  <c r="S72" i="10" s="1"/>
  <c r="G35" i="7"/>
  <c r="G33" i="7"/>
  <c r="X41" i="7"/>
  <c r="T87" i="10" s="1"/>
  <c r="X43" i="7"/>
  <c r="T89" i="10" s="1"/>
  <c r="G28" i="7"/>
  <c r="J40" i="7"/>
  <c r="S166" i="10" s="1"/>
  <c r="F39" i="7"/>
  <c r="B40" i="7"/>
  <c r="S62" i="10" s="1"/>
  <c r="K40" i="7"/>
  <c r="V40" i="7"/>
  <c r="T70" i="10" s="1"/>
  <c r="Q43" i="7"/>
  <c r="C40" i="7"/>
  <c r="S70" i="10" s="1"/>
  <c r="L40" i="7"/>
  <c r="S182" i="10" s="1"/>
  <c r="W40" i="7"/>
  <c r="T78" i="10" s="1"/>
  <c r="F26" i="7"/>
  <c r="S39" i="7"/>
  <c r="D40" i="7"/>
  <c r="S78" i="10" s="1"/>
  <c r="O40" i="7"/>
  <c r="U39" i="7"/>
  <c r="AH24" i="14"/>
  <c r="AG68" i="14"/>
  <c r="AU45" i="14"/>
  <c r="AU9" i="14"/>
  <c r="H46" i="14"/>
  <c r="AU26" i="14"/>
  <c r="U45" i="14"/>
  <c r="AU46" i="14"/>
  <c r="I68" i="14"/>
  <c r="H73" i="14"/>
  <c r="F83" i="14"/>
  <c r="D83" i="14"/>
  <c r="X64" i="14"/>
  <c r="V43" i="14"/>
  <c r="U46" i="14"/>
  <c r="U51" i="14"/>
  <c r="T43" i="14"/>
  <c r="U48" i="14"/>
  <c r="AH27" i="14"/>
  <c r="AI35" i="14"/>
  <c r="AH26" i="14"/>
  <c r="AH28" i="14"/>
  <c r="AD39" i="14"/>
  <c r="AZ18" i="14"/>
  <c r="AU7" i="14"/>
  <c r="AU11" i="14"/>
  <c r="AU12" i="14"/>
  <c r="AU6" i="14"/>
  <c r="AU10" i="14"/>
  <c r="AP18" i="14"/>
  <c r="AE18" i="14"/>
  <c r="AD19" i="14"/>
  <c r="AQ18" i="14"/>
  <c r="U11" i="14"/>
  <c r="U10" i="14"/>
  <c r="U5" i="14"/>
  <c r="Q18" i="14"/>
  <c r="U7" i="14"/>
  <c r="S18" i="14"/>
  <c r="Z18" i="14"/>
  <c r="I184" i="10" s="1"/>
  <c r="AX18" i="14"/>
  <c r="AK18" i="14"/>
  <c r="H29" i="14"/>
  <c r="H28" i="14"/>
  <c r="H27" i="14"/>
  <c r="G35" i="14"/>
  <c r="AF83" i="14"/>
  <c r="AK83" i="14"/>
  <c r="AZ64" i="14"/>
  <c r="AW64" i="14"/>
  <c r="AU49" i="14"/>
  <c r="AU48" i="14"/>
  <c r="AU47" i="14"/>
  <c r="AU50" i="14"/>
  <c r="AS64" i="14"/>
  <c r="AT60" i="14"/>
  <c r="AJ83" i="14"/>
  <c r="AH75" i="14"/>
  <c r="AH72" i="14"/>
  <c r="AH71" i="14"/>
  <c r="AG80" i="14"/>
  <c r="AH70" i="14"/>
  <c r="AH6" i="14"/>
  <c r="AH10" i="14"/>
  <c r="AH8" i="14"/>
  <c r="AG3" i="14"/>
  <c r="AF18" i="14"/>
  <c r="L64" i="14"/>
  <c r="I43" i="14"/>
  <c r="H49" i="14"/>
  <c r="H48" i="14"/>
  <c r="H52" i="14"/>
  <c r="H51" i="14"/>
  <c r="H50" i="14"/>
  <c r="E64" i="14"/>
  <c r="D64" i="14"/>
  <c r="M64" i="14"/>
  <c r="G61" i="14"/>
  <c r="AZ39" i="14"/>
  <c r="AY39" i="14"/>
  <c r="AU27" i="14"/>
  <c r="AU31" i="14"/>
  <c r="AU29" i="14"/>
  <c r="AP39" i="14"/>
  <c r="AU25" i="14"/>
  <c r="AW39" i="14"/>
  <c r="J39" i="14"/>
  <c r="D39" i="14"/>
  <c r="F39" i="14"/>
  <c r="V68" i="14"/>
  <c r="U70" i="14"/>
  <c r="U73" i="14"/>
  <c r="T68" i="14"/>
  <c r="AX39" i="14"/>
  <c r="AI68" i="14"/>
  <c r="H71" i="14"/>
  <c r="H72" i="14"/>
  <c r="J83" i="14"/>
  <c r="T79" i="14"/>
  <c r="U71" i="14"/>
  <c r="U72" i="14"/>
  <c r="AH73" i="14"/>
  <c r="AH74" i="14"/>
  <c r="AI80" i="14"/>
  <c r="G68" i="14"/>
  <c r="H74" i="14"/>
  <c r="H75" i="14"/>
  <c r="C83" i="14"/>
  <c r="P83" i="14"/>
  <c r="AM84" i="14"/>
  <c r="AG79" i="14"/>
  <c r="G80" i="14"/>
  <c r="E83" i="14"/>
  <c r="R83" i="14"/>
  <c r="U50" i="14"/>
  <c r="J64" i="14"/>
  <c r="W64" i="14"/>
  <c r="G43" i="14"/>
  <c r="AV43" i="14"/>
  <c r="AX65" i="14"/>
  <c r="H47" i="14"/>
  <c r="Z65" i="14"/>
  <c r="AY65" i="14"/>
  <c r="U49" i="14"/>
  <c r="AU51" i="14"/>
  <c r="C64" i="14"/>
  <c r="P64" i="14"/>
  <c r="AP65" i="14"/>
  <c r="Q65" i="14"/>
  <c r="AI22" i="14"/>
  <c r="AS19" i="14"/>
  <c r="H30" i="14"/>
  <c r="AE39" i="14"/>
  <c r="AQ39" i="14"/>
  <c r="AT36" i="14"/>
  <c r="AI3" i="14"/>
  <c r="AH9" i="14"/>
  <c r="AU33" i="14"/>
  <c r="AS40" i="14"/>
  <c r="AV22" i="14"/>
  <c r="H26" i="14"/>
  <c r="AU32" i="14"/>
  <c r="K40" i="14"/>
  <c r="AG36" i="14"/>
  <c r="G22" i="14"/>
  <c r="H25" i="14"/>
  <c r="AU30" i="14"/>
  <c r="L40" i="14"/>
  <c r="AI36" i="14"/>
  <c r="AV36" i="14"/>
  <c r="AH7" i="14"/>
  <c r="AG15" i="14"/>
  <c r="AC16" i="14"/>
  <c r="H24" i="14"/>
  <c r="C40" i="14"/>
  <c r="AU8" i="14"/>
  <c r="AH25" i="14"/>
  <c r="AU28" i="14"/>
  <c r="AG35" i="14"/>
  <c r="AJ37" i="14"/>
  <c r="AT22" i="14"/>
  <c r="E39" i="14"/>
  <c r="T14" i="14"/>
  <c r="U9" i="14"/>
  <c r="U8" i="14"/>
  <c r="AW38" i="14"/>
  <c r="V14" i="14"/>
  <c r="W18" i="14"/>
  <c r="I160" i="10" s="1"/>
  <c r="AC38" i="14"/>
  <c r="AV3" i="14"/>
  <c r="X19" i="14"/>
  <c r="I169" i="10" s="1"/>
  <c r="AJ18" i="14"/>
  <c r="AW18" i="14"/>
  <c r="AV14" i="14"/>
  <c r="AW19" i="14"/>
  <c r="T15" i="14"/>
  <c r="AE16" i="14"/>
  <c r="P17" i="14"/>
  <c r="AD18" i="14"/>
  <c r="AT3" i="14"/>
  <c r="Y18" i="14"/>
  <c r="I176" i="10" s="1"/>
  <c r="V15" i="14"/>
  <c r="AF19" i="14"/>
  <c r="J63" i="14"/>
  <c r="W63" i="14"/>
  <c r="U6" i="14"/>
  <c r="AL18" i="14"/>
  <c r="AY18" i="14"/>
  <c r="AI15" i="14"/>
  <c r="AJ16" i="14"/>
  <c r="AT15" i="14"/>
  <c r="AC18" i="14"/>
  <c r="AV15" i="14"/>
  <c r="R18" i="14"/>
  <c r="R19" i="14"/>
  <c r="AY16" i="14"/>
  <c r="AH5" i="14"/>
  <c r="AT14" i="14"/>
  <c r="AR18" i="14"/>
  <c r="AP16" i="14"/>
  <c r="AM18" i="14"/>
  <c r="AG14" i="14"/>
  <c r="P19" i="14"/>
  <c r="Y19" i="14"/>
  <c r="I177" i="10" s="1"/>
  <c r="AG22" i="14"/>
  <c r="K39" i="14"/>
  <c r="AS39" i="14"/>
  <c r="D40" i="14"/>
  <c r="AK40" i="14"/>
  <c r="I61" i="14"/>
  <c r="F64" i="14"/>
  <c r="Q64" i="14"/>
  <c r="Z64" i="14"/>
  <c r="AX64" i="14"/>
  <c r="AQ65" i="14"/>
  <c r="G79" i="14"/>
  <c r="T80" i="14"/>
  <c r="C81" i="14"/>
  <c r="L81" i="14"/>
  <c r="W81" i="14"/>
  <c r="AJ82" i="14"/>
  <c r="AC83" i="14"/>
  <c r="AI14" i="14"/>
  <c r="X18" i="14"/>
  <c r="I168" i="10" s="1"/>
  <c r="AS18" i="14"/>
  <c r="Q19" i="14"/>
  <c r="Z19" i="14"/>
  <c r="I185" i="10" s="1"/>
  <c r="AT35" i="14"/>
  <c r="G37" i="14"/>
  <c r="AP37" i="14"/>
  <c r="C39" i="14"/>
  <c r="L39" i="14"/>
  <c r="AJ39" i="14"/>
  <c r="E40" i="14"/>
  <c r="AC40" i="14"/>
  <c r="AW40" i="14"/>
  <c r="AT43" i="14"/>
  <c r="U47" i="14"/>
  <c r="G60" i="14"/>
  <c r="T61" i="14"/>
  <c r="C62" i="14"/>
  <c r="R64" i="14"/>
  <c r="AP64" i="14"/>
  <c r="AY64" i="14"/>
  <c r="J65" i="14"/>
  <c r="I79" i="14"/>
  <c r="V80" i="14"/>
  <c r="S83" i="14"/>
  <c r="AD83" i="14"/>
  <c r="AM83" i="14"/>
  <c r="K84" i="14"/>
  <c r="P18" i="14"/>
  <c r="AV35" i="14"/>
  <c r="AF37" i="14"/>
  <c r="AQ37" i="14"/>
  <c r="AZ37" i="14"/>
  <c r="F40" i="14"/>
  <c r="AD40" i="14"/>
  <c r="AX40" i="14"/>
  <c r="I60" i="14"/>
  <c r="V61" i="14"/>
  <c r="D62" i="14"/>
  <c r="M62" i="14"/>
  <c r="X62" i="14"/>
  <c r="K65" i="14"/>
  <c r="AS65" i="14"/>
  <c r="G36" i="14"/>
  <c r="J37" i="14"/>
  <c r="AR37" i="14"/>
  <c r="AC39" i="14"/>
  <c r="AE40" i="14"/>
  <c r="T60" i="14"/>
  <c r="AT61" i="14"/>
  <c r="E62" i="14"/>
  <c r="P62" i="14"/>
  <c r="Y62" i="14"/>
  <c r="AW62" i="14"/>
  <c r="L65" i="14"/>
  <c r="W65" i="14"/>
  <c r="V79" i="14"/>
  <c r="D84" i="14"/>
  <c r="M84" i="14"/>
  <c r="I36" i="14"/>
  <c r="H45" i="14"/>
  <c r="V60" i="14"/>
  <c r="AV61" i="14"/>
  <c r="R81" i="14"/>
  <c r="AC81" i="14"/>
  <c r="AL81" i="14"/>
  <c r="AJ84" i="14"/>
  <c r="AI79" i="14"/>
  <c r="AW17" i="14"/>
  <c r="I35" i="14"/>
  <c r="AV60" i="14"/>
  <c r="I22" i="14"/>
  <c r="I80" i="14"/>
  <c r="AC508" i="10"/>
  <c r="BH9" i="17" s="1"/>
  <c r="AC501" i="10"/>
  <c r="BG38" i="17" s="1"/>
  <c r="AC500" i="10"/>
  <c r="BG9" i="17" s="1"/>
  <c r="AK26" i="17" l="1"/>
  <c r="AK25" i="17"/>
  <c r="AK23" i="17"/>
  <c r="AK12" i="17" s="1"/>
  <c r="AK13" i="17" s="1"/>
  <c r="AS24" i="17"/>
  <c r="AC359" i="10"/>
  <c r="AC361" i="10"/>
  <c r="AJ25" i="17"/>
  <c r="AJ26" i="17"/>
  <c r="AJ23" i="17"/>
  <c r="AJ12" i="17" s="1"/>
  <c r="AJ13" i="17" s="1"/>
  <c r="AG25" i="17"/>
  <c r="AG26" i="17"/>
  <c r="AG23" i="17"/>
  <c r="AG12" i="17" s="1"/>
  <c r="AG13" i="17" s="1"/>
  <c r="AI26" i="17"/>
  <c r="AI25" i="17"/>
  <c r="AI23" i="17"/>
  <c r="AI12" i="17" s="1"/>
  <c r="AI13" i="17" s="1"/>
  <c r="AO24" i="17"/>
  <c r="AC319" i="10"/>
  <c r="AC286" i="10"/>
  <c r="D287" i="10"/>
  <c r="AO11" i="17"/>
  <c r="AO10" i="17"/>
  <c r="AO37" i="17"/>
  <c r="AP11" i="17"/>
  <c r="AP10" i="17"/>
  <c r="AP37" i="17"/>
  <c r="AP24" i="17"/>
  <c r="AC335" i="10"/>
  <c r="BN37" i="17"/>
  <c r="AC567" i="10"/>
  <c r="BN24" i="17"/>
  <c r="BL25" i="17"/>
  <c r="BL26" i="17"/>
  <c r="BL32" i="17"/>
  <c r="BL36" i="17"/>
  <c r="BL23" i="17"/>
  <c r="BL12" i="17" s="1"/>
  <c r="BL34" i="17"/>
  <c r="BL11" i="17"/>
  <c r="W19" i="14"/>
  <c r="I161" i="10" s="1"/>
  <c r="I153" i="10" s="1"/>
  <c r="Y17" i="14"/>
  <c r="I175" i="10" s="1"/>
  <c r="I174" i="10"/>
  <c r="V16" i="14"/>
  <c r="X17" i="14"/>
  <c r="I167" i="10" s="1"/>
  <c r="I166" i="10"/>
  <c r="I150" i="10" s="1"/>
  <c r="I152" i="10"/>
  <c r="I149" i="10"/>
  <c r="W17" i="14"/>
  <c r="I159" i="10" s="1"/>
  <c r="Z17" i="14"/>
  <c r="I183" i="10" s="1"/>
  <c r="I182" i="10"/>
  <c r="BH10" i="17"/>
  <c r="BG32" i="17"/>
  <c r="BG36" i="17"/>
  <c r="BG34" i="17"/>
  <c r="BG11" i="17"/>
  <c r="BG10" i="17"/>
  <c r="BC10" i="17"/>
  <c r="BB10" i="17"/>
  <c r="BA10" i="17"/>
  <c r="AC343" i="10"/>
  <c r="AQ24" i="17"/>
  <c r="AQ23" i="17" s="1"/>
  <c r="AQ12" i="17" s="1"/>
  <c r="AC351" i="10"/>
  <c r="AR24" i="17"/>
  <c r="AR37" i="17"/>
  <c r="AQ36" i="17"/>
  <c r="AQ32" i="17"/>
  <c r="AQ34" i="17"/>
  <c r="AQ11" i="17"/>
  <c r="AC255" i="10"/>
  <c r="AH24" i="17"/>
  <c r="AH23" i="17" s="1"/>
  <c r="AH12" i="17" s="1"/>
  <c r="AH34" i="17"/>
  <c r="AH32" i="17"/>
  <c r="AH36" i="17"/>
  <c r="AH11" i="17"/>
  <c r="T53" i="10"/>
  <c r="O153" i="10"/>
  <c r="N153" i="10"/>
  <c r="S56" i="10"/>
  <c r="T148" i="10"/>
  <c r="K43" i="7"/>
  <c r="S177" i="10" s="1"/>
  <c r="S174" i="10"/>
  <c r="S168" i="10"/>
  <c r="S176" i="10"/>
  <c r="S148" i="10"/>
  <c r="P43" i="7"/>
  <c r="T166" i="10"/>
  <c r="T56" i="10"/>
  <c r="T160" i="10"/>
  <c r="S160" i="10"/>
  <c r="I43" i="7"/>
  <c r="S158" i="10"/>
  <c r="T176" i="10"/>
  <c r="S184" i="10"/>
  <c r="T168" i="10"/>
  <c r="T185" i="10"/>
  <c r="E41" i="7"/>
  <c r="S87" i="10" s="1"/>
  <c r="S86" i="10"/>
  <c r="S54" i="10" s="1"/>
  <c r="S55" i="10" s="1"/>
  <c r="T177" i="10"/>
  <c r="T184" i="10"/>
  <c r="Y41" i="7"/>
  <c r="T63" i="10" s="1"/>
  <c r="T62" i="10"/>
  <c r="T54" i="10" s="1"/>
  <c r="T158" i="10"/>
  <c r="T150" i="10" s="1"/>
  <c r="T151" i="10" s="1"/>
  <c r="S149" i="10"/>
  <c r="AT25" i="15"/>
  <c r="AV69" i="15"/>
  <c r="V102" i="15"/>
  <c r="AI102" i="15"/>
  <c r="AI100" i="15"/>
  <c r="AG100" i="15"/>
  <c r="AG102" i="15"/>
  <c r="V100" i="15"/>
  <c r="AT46" i="15"/>
  <c r="AT48" i="15"/>
  <c r="AV23" i="15"/>
  <c r="AV25" i="15"/>
  <c r="T71" i="15"/>
  <c r="T69" i="15"/>
  <c r="I71" i="15"/>
  <c r="AC476" i="10"/>
  <c r="BE9" i="17" s="1"/>
  <c r="AC484" i="10"/>
  <c r="BF9" i="17" s="1"/>
  <c r="AT62" i="14"/>
  <c r="J84" i="14"/>
  <c r="J82" i="14"/>
  <c r="AC420" i="10"/>
  <c r="AY9" i="17" s="1"/>
  <c r="E53" i="10"/>
  <c r="AC437" i="10"/>
  <c r="E54" i="10"/>
  <c r="AC421" i="10"/>
  <c r="AY38" i="17" s="1"/>
  <c r="P84" i="14"/>
  <c r="AC468" i="10"/>
  <c r="BD9" i="17" s="1"/>
  <c r="G53" i="10"/>
  <c r="AG48" i="15"/>
  <c r="AG46" i="15"/>
  <c r="D54" i="10"/>
  <c r="D56" i="10"/>
  <c r="B52" i="10"/>
  <c r="E57" i="10"/>
  <c r="D53" i="10"/>
  <c r="F53" i="10"/>
  <c r="T16" i="14"/>
  <c r="AC485" i="10"/>
  <c r="BF38" i="17" s="1"/>
  <c r="AE84" i="14"/>
  <c r="AC428" i="10"/>
  <c r="AZ9" i="17" s="1"/>
  <c r="P82" i="14"/>
  <c r="AC445" i="10"/>
  <c r="G56" i="10"/>
  <c r="AC469" i="10"/>
  <c r="BD38" i="17" s="1"/>
  <c r="AC461" i="10"/>
  <c r="C56" i="10"/>
  <c r="AC477" i="10"/>
  <c r="BE38" i="17" s="1"/>
  <c r="F56" i="10"/>
  <c r="D57" i="10"/>
  <c r="S19" i="14"/>
  <c r="N9" i="10"/>
  <c r="O9" i="10"/>
  <c r="L82" i="14"/>
  <c r="R82" i="14"/>
  <c r="X63" i="14"/>
  <c r="N47" i="10"/>
  <c r="AK82" i="14"/>
  <c r="S63" i="14"/>
  <c r="AZ38" i="14"/>
  <c r="AY17" i="14"/>
  <c r="AJ19" i="14"/>
  <c r="R63" i="14"/>
  <c r="AP63" i="14"/>
  <c r="AK38" i="14"/>
  <c r="AF17" i="14"/>
  <c r="AX63" i="14"/>
  <c r="AD17" i="14"/>
  <c r="AW65" i="14"/>
  <c r="AC422" i="10"/>
  <c r="AY24" i="17" s="1"/>
  <c r="AQ38" i="14"/>
  <c r="AI39" i="14"/>
  <c r="AC453" i="10"/>
  <c r="AT69" i="15"/>
  <c r="AG23" i="15"/>
  <c r="AF82" i="14"/>
  <c r="AQ63" i="14"/>
  <c r="AM38" i="14"/>
  <c r="AX17" i="14"/>
  <c r="AY63" i="14"/>
  <c r="K82" i="14"/>
  <c r="AP19" i="14"/>
  <c r="AE17" i="14"/>
  <c r="AE82" i="14"/>
  <c r="AD82" i="14"/>
  <c r="K38" i="14"/>
  <c r="S17" i="14"/>
  <c r="AM82" i="14"/>
  <c r="K63" i="14"/>
  <c r="Q17" i="14"/>
  <c r="Y63" i="14"/>
  <c r="AF38" i="14"/>
  <c r="F54" i="10"/>
  <c r="J40" i="14"/>
  <c r="S82" i="14"/>
  <c r="Q63" i="14"/>
  <c r="M38" i="14"/>
  <c r="AK17" i="14"/>
  <c r="AC429" i="10"/>
  <c r="AZ38" i="17" s="1"/>
  <c r="L63" i="14"/>
  <c r="AR38" i="14"/>
  <c r="C54" i="10"/>
  <c r="C55" i="10" s="1"/>
  <c r="E63" i="14"/>
  <c r="AC452" i="10"/>
  <c r="Z9" i="12" s="1"/>
  <c r="G46" i="15"/>
  <c r="E82" i="14"/>
  <c r="AL38" i="14"/>
  <c r="Q82" i="14"/>
  <c r="AZ63" i="14"/>
  <c r="AR17" i="14"/>
  <c r="M82" i="14"/>
  <c r="AM17" i="14"/>
  <c r="AC17" i="14"/>
  <c r="E56" i="10"/>
  <c r="I46" i="15"/>
  <c r="B54" i="10"/>
  <c r="B55" i="10" s="1"/>
  <c r="O47" i="10"/>
  <c r="F82" i="14"/>
  <c r="AS63" i="14"/>
  <c r="AL82" i="14"/>
  <c r="AJ40" i="14"/>
  <c r="AR63" i="14"/>
  <c r="AL17" i="14"/>
  <c r="L38" i="14"/>
  <c r="D82" i="14"/>
  <c r="AX38" i="14"/>
  <c r="AS17" i="14"/>
  <c r="AQ17" i="14"/>
  <c r="AC413" i="10"/>
  <c r="Y37" i="12" s="1"/>
  <c r="Y31" i="12" s="1"/>
  <c r="I41" i="7"/>
  <c r="K41" i="7"/>
  <c r="R41" i="7"/>
  <c r="Q41" i="7"/>
  <c r="L41" i="7"/>
  <c r="J43" i="7"/>
  <c r="P41" i="7"/>
  <c r="AF51" i="6"/>
  <c r="AF52" i="6"/>
  <c r="AC345" i="10"/>
  <c r="AC257" i="10"/>
  <c r="AC328" i="10"/>
  <c r="AC551" i="10"/>
  <c r="AC553" i="10"/>
  <c r="V11" i="12"/>
  <c r="V10" i="12"/>
  <c r="AC534" i="10"/>
  <c r="AB23" i="12" s="1"/>
  <c r="AC569" i="10"/>
  <c r="V36" i="12"/>
  <c r="AC353" i="10"/>
  <c r="AC326" i="10"/>
  <c r="W23" i="12" s="1"/>
  <c r="AC509" i="10"/>
  <c r="AC504" i="10"/>
  <c r="I100" i="15"/>
  <c r="AB35" i="12"/>
  <c r="T100" i="15"/>
  <c r="G100" i="15"/>
  <c r="V69" i="15"/>
  <c r="AI46" i="15"/>
  <c r="AV46" i="15"/>
  <c r="AB31" i="12"/>
  <c r="AI23" i="15"/>
  <c r="M63" i="14"/>
  <c r="W35" i="12"/>
  <c r="D63" i="14"/>
  <c r="F63" i="14"/>
  <c r="AC412" i="10"/>
  <c r="Y9" i="12" s="1"/>
  <c r="AZ17" i="14"/>
  <c r="R17" i="14"/>
  <c r="AB10" i="12"/>
  <c r="AB11" i="12"/>
  <c r="AC526" i="10"/>
  <c r="BJ24" i="17" s="1"/>
  <c r="AC518" i="10"/>
  <c r="BI24" i="17" s="1"/>
  <c r="AC238" i="10"/>
  <c r="U23" i="12" s="1"/>
  <c r="X11" i="12"/>
  <c r="X36" i="12"/>
  <c r="K56" i="10"/>
  <c r="U111" i="6"/>
  <c r="U112" i="6"/>
  <c r="H112" i="6"/>
  <c r="H111" i="6"/>
  <c r="S107" i="6"/>
  <c r="G68" i="7"/>
  <c r="K52" i="10"/>
  <c r="J56" i="10"/>
  <c r="K53" i="10"/>
  <c r="W41" i="7"/>
  <c r="T79" i="10" s="1"/>
  <c r="C41" i="7"/>
  <c r="S71" i="10" s="1"/>
  <c r="V43" i="7"/>
  <c r="T73" i="10" s="1"/>
  <c r="D41" i="7"/>
  <c r="S79" i="10" s="1"/>
  <c r="U51" i="6"/>
  <c r="U52" i="6"/>
  <c r="H51" i="6"/>
  <c r="H52" i="6"/>
  <c r="F51" i="6"/>
  <c r="F52" i="6"/>
  <c r="U27" i="6"/>
  <c r="S28" i="6"/>
  <c r="S51" i="6"/>
  <c r="S52" i="6"/>
  <c r="F28" i="6"/>
  <c r="F27" i="6"/>
  <c r="H28" i="6"/>
  <c r="H27" i="6"/>
  <c r="M57" i="10"/>
  <c r="L52" i="10"/>
  <c r="M53" i="10"/>
  <c r="M52" i="10"/>
  <c r="M54" i="10"/>
  <c r="L57" i="10"/>
  <c r="M56" i="10"/>
  <c r="L56" i="10"/>
  <c r="L53" i="10"/>
  <c r="L54" i="10"/>
  <c r="G102" i="15"/>
  <c r="T102" i="15"/>
  <c r="I102" i="15"/>
  <c r="AI25" i="15"/>
  <c r="V71" i="15"/>
  <c r="AT71" i="15"/>
  <c r="G48" i="15"/>
  <c r="AV48" i="15"/>
  <c r="AG25" i="15"/>
  <c r="I48" i="15"/>
  <c r="AI48" i="15"/>
  <c r="S42" i="7"/>
  <c r="H42" i="7"/>
  <c r="C43" i="7"/>
  <c r="S73" i="10" s="1"/>
  <c r="F42" i="7"/>
  <c r="B41" i="7"/>
  <c r="S63" i="10" s="1"/>
  <c r="F40" i="7"/>
  <c r="F41" i="7" s="1"/>
  <c r="B43" i="7"/>
  <c r="S65" i="10" s="1"/>
  <c r="D43" i="7"/>
  <c r="S81" i="10" s="1"/>
  <c r="H40" i="7"/>
  <c r="J41" i="7"/>
  <c r="W43" i="7"/>
  <c r="T81" i="10" s="1"/>
  <c r="O41" i="7"/>
  <c r="S40" i="7"/>
  <c r="U42" i="7"/>
  <c r="V41" i="7"/>
  <c r="T71" i="10" s="1"/>
  <c r="U40" i="7"/>
  <c r="U41" i="7" s="1"/>
  <c r="O43" i="7"/>
  <c r="L43" i="7"/>
  <c r="AG39" i="14"/>
  <c r="T18" i="14"/>
  <c r="G39" i="14"/>
  <c r="AT64" i="14"/>
  <c r="AG83" i="14"/>
  <c r="AC19" i="14"/>
  <c r="D65" i="14"/>
  <c r="AJ38" i="14"/>
  <c r="R84" i="14"/>
  <c r="T83" i="14"/>
  <c r="L84" i="14"/>
  <c r="E65" i="14"/>
  <c r="V62" i="14"/>
  <c r="V65" i="14" s="1"/>
  <c r="AT63" i="14"/>
  <c r="X65" i="14"/>
  <c r="AI37" i="14"/>
  <c r="AG16" i="14"/>
  <c r="AY19" i="14"/>
  <c r="AV16" i="14"/>
  <c r="G40" i="14"/>
  <c r="V81" i="14"/>
  <c r="V82" i="14" s="1"/>
  <c r="W82" i="14"/>
  <c r="M65" i="14"/>
  <c r="I62" i="14"/>
  <c r="AC82" i="14"/>
  <c r="AG81" i="14"/>
  <c r="T62" i="14"/>
  <c r="P63" i="14"/>
  <c r="AP38" i="14"/>
  <c r="AT37" i="14"/>
  <c r="AT38" i="14" s="1"/>
  <c r="AI18" i="14"/>
  <c r="AG18" i="14"/>
  <c r="P65" i="14"/>
  <c r="T81" i="14"/>
  <c r="AQ40" i="14"/>
  <c r="AE19" i="14"/>
  <c r="AG37" i="14"/>
  <c r="AI83" i="14"/>
  <c r="V83" i="14"/>
  <c r="G38" i="14"/>
  <c r="C82" i="14"/>
  <c r="G81" i="14"/>
  <c r="AC84" i="14"/>
  <c r="AT16" i="14"/>
  <c r="AP17" i="14"/>
  <c r="W84" i="14"/>
  <c r="B57" i="10" s="1"/>
  <c r="I81" i="14"/>
  <c r="T64" i="14"/>
  <c r="AV64" i="14"/>
  <c r="AT65" i="14"/>
  <c r="AT39" i="14"/>
  <c r="AJ17" i="14"/>
  <c r="AI16" i="14"/>
  <c r="I39" i="14"/>
  <c r="I37" i="14"/>
  <c r="J38" i="14"/>
  <c r="G83" i="14"/>
  <c r="AR40" i="14"/>
  <c r="AV18" i="14"/>
  <c r="AT18" i="14"/>
  <c r="AF40" i="14"/>
  <c r="F57" i="10" s="1"/>
  <c r="V18" i="14"/>
  <c r="V19" i="14"/>
  <c r="V64" i="14"/>
  <c r="I64" i="14"/>
  <c r="AV39" i="14"/>
  <c r="C63" i="14"/>
  <c r="G62" i="14"/>
  <c r="AP40" i="14"/>
  <c r="C84" i="14"/>
  <c r="I83" i="14"/>
  <c r="AI81" i="14"/>
  <c r="AZ40" i="14"/>
  <c r="AV62" i="14"/>
  <c r="AW63" i="14"/>
  <c r="G64" i="14"/>
  <c r="V17" i="14"/>
  <c r="AV37" i="14"/>
  <c r="AC492" i="10"/>
  <c r="BL37" i="17" l="1"/>
  <c r="AS26" i="17"/>
  <c r="AS25" i="17"/>
  <c r="AS23" i="17"/>
  <c r="AS12" i="17" s="1"/>
  <c r="AS13" i="17" s="1"/>
  <c r="AO26" i="17"/>
  <c r="AO25" i="17"/>
  <c r="AO23" i="17"/>
  <c r="AO12" i="17" s="1"/>
  <c r="AO13" i="17" s="1"/>
  <c r="V23" i="12"/>
  <c r="AC287" i="10"/>
  <c r="AC289" i="10"/>
  <c r="AP26" i="17"/>
  <c r="AP25" i="17"/>
  <c r="AP23" i="17"/>
  <c r="AP12" i="17" s="1"/>
  <c r="AP13" i="17" s="1"/>
  <c r="BN26" i="17"/>
  <c r="BN25" i="17"/>
  <c r="BN23" i="17"/>
  <c r="BN12" i="17" s="1"/>
  <c r="BN13" i="17" s="1"/>
  <c r="BL13" i="17"/>
  <c r="I151" i="10"/>
  <c r="AC512" i="10"/>
  <c r="BH38" i="17"/>
  <c r="BG37" i="17"/>
  <c r="BI26" i="17"/>
  <c r="BI25" i="17"/>
  <c r="BI23" i="17"/>
  <c r="BI12" i="17" s="1"/>
  <c r="BI13" i="17" s="1"/>
  <c r="BJ26" i="17"/>
  <c r="BJ25" i="17"/>
  <c r="BJ23" i="17"/>
  <c r="BJ12" i="17" s="1"/>
  <c r="BJ13" i="17" s="1"/>
  <c r="BE11" i="17"/>
  <c r="BE10" i="17"/>
  <c r="BE36" i="17"/>
  <c r="BE34" i="17"/>
  <c r="BE32" i="17"/>
  <c r="BF36" i="17"/>
  <c r="BF32" i="17"/>
  <c r="BF34" i="17"/>
  <c r="BD34" i="17"/>
  <c r="BD36" i="17"/>
  <c r="BD32" i="17"/>
  <c r="BD10" i="17"/>
  <c r="BD11" i="17"/>
  <c r="AC464" i="10"/>
  <c r="BC38" i="17"/>
  <c r="BF10" i="17"/>
  <c r="BF11" i="17"/>
  <c r="AZ11" i="17"/>
  <c r="AZ10" i="17"/>
  <c r="Y11" i="12"/>
  <c r="AY26" i="17"/>
  <c r="AY25" i="17"/>
  <c r="AY11" i="17"/>
  <c r="AY10" i="17"/>
  <c r="AC440" i="10"/>
  <c r="BA38" i="17"/>
  <c r="AZ34" i="17"/>
  <c r="AZ32" i="17"/>
  <c r="AZ36" i="17"/>
  <c r="AC448" i="10"/>
  <c r="BB38" i="17"/>
  <c r="AY32" i="17"/>
  <c r="AY34" i="17"/>
  <c r="AY23" i="17"/>
  <c r="AY12" i="17" s="1"/>
  <c r="AY36" i="17"/>
  <c r="AQ37" i="17"/>
  <c r="AQ13" i="17"/>
  <c r="AR26" i="17"/>
  <c r="AR25" i="17"/>
  <c r="AR23" i="17"/>
  <c r="AR12" i="17" s="1"/>
  <c r="AR13" i="17" s="1"/>
  <c r="AQ26" i="17"/>
  <c r="AQ25" i="17"/>
  <c r="Y33" i="12"/>
  <c r="Y35" i="12"/>
  <c r="Z10" i="12"/>
  <c r="AA9" i="12"/>
  <c r="Y10" i="12"/>
  <c r="U35" i="12"/>
  <c r="Z37" i="12"/>
  <c r="AH13" i="17"/>
  <c r="AH37" i="17"/>
  <c r="AH25" i="17"/>
  <c r="AH26" i="17"/>
  <c r="E55" i="10"/>
  <c r="T55" i="10"/>
  <c r="T152" i="10"/>
  <c r="T57" i="10"/>
  <c r="S152" i="10"/>
  <c r="S185" i="10"/>
  <c r="S167" i="10"/>
  <c r="T167" i="10"/>
  <c r="T183" i="10"/>
  <c r="AC488" i="10"/>
  <c r="S161" i="10"/>
  <c r="T161" i="10"/>
  <c r="S169" i="10"/>
  <c r="S175" i="10"/>
  <c r="S57" i="10"/>
  <c r="S183" i="10"/>
  <c r="S159" i="10"/>
  <c r="T159" i="10"/>
  <c r="T175" i="10"/>
  <c r="S150" i="10"/>
  <c r="T169" i="10"/>
  <c r="AC480" i="10"/>
  <c r="AC424" i="10"/>
  <c r="F55" i="10"/>
  <c r="T19" i="14"/>
  <c r="T17" i="14"/>
  <c r="D55" i="10"/>
  <c r="AC472" i="10"/>
  <c r="AC486" i="10"/>
  <c r="AC446" i="10"/>
  <c r="G57" i="10"/>
  <c r="I132" i="14"/>
  <c r="I110" i="14"/>
  <c r="H134" i="14"/>
  <c r="AC438" i="10"/>
  <c r="H112" i="14"/>
  <c r="AC470" i="10"/>
  <c r="AC462" i="10"/>
  <c r="AC456" i="10"/>
  <c r="U33" i="12"/>
  <c r="U31" i="12"/>
  <c r="AC423" i="10"/>
  <c r="AC425" i="10"/>
  <c r="AI17" i="14"/>
  <c r="O48" i="10"/>
  <c r="C57" i="10"/>
  <c r="AV63" i="14"/>
  <c r="AT17" i="14"/>
  <c r="N48" i="10"/>
  <c r="G82" i="14"/>
  <c r="N49" i="10"/>
  <c r="T63" i="14"/>
  <c r="AI82" i="14"/>
  <c r="AG17" i="14"/>
  <c r="AC430" i="10"/>
  <c r="G54" i="10"/>
  <c r="G55" i="10" s="1"/>
  <c r="I38" i="14"/>
  <c r="I82" i="14"/>
  <c r="AI38" i="14"/>
  <c r="AC432" i="10"/>
  <c r="AC478" i="10"/>
  <c r="BE24" i="17" s="1"/>
  <c r="BE23" i="17" s="1"/>
  <c r="BE12" i="17" s="1"/>
  <c r="AC416" i="10"/>
  <c r="AB36" i="12"/>
  <c r="W31" i="12"/>
  <c r="W33" i="12"/>
  <c r="AC535" i="10"/>
  <c r="AC537" i="10"/>
  <c r="AC327" i="10"/>
  <c r="AC329" i="10"/>
  <c r="AC493" i="10"/>
  <c r="AA37" i="12" s="1"/>
  <c r="AC510" i="10"/>
  <c r="AC502" i="10"/>
  <c r="BG24" i="17" s="1"/>
  <c r="I63" i="14"/>
  <c r="G63" i="14"/>
  <c r="U10" i="12"/>
  <c r="U11" i="12"/>
  <c r="AV38" i="14"/>
  <c r="AV19" i="14"/>
  <c r="W10" i="12"/>
  <c r="W11" i="12"/>
  <c r="AC529" i="10"/>
  <c r="AC527" i="10"/>
  <c r="AC519" i="10"/>
  <c r="AC521" i="10"/>
  <c r="AC239" i="10"/>
  <c r="AC241" i="10"/>
  <c r="S112" i="6"/>
  <c r="S111" i="6"/>
  <c r="M55" i="10"/>
  <c r="J54" i="10"/>
  <c r="J55" i="10" s="1"/>
  <c r="J57" i="10"/>
  <c r="K54" i="10"/>
  <c r="K55" i="10" s="1"/>
  <c r="K57" i="10"/>
  <c r="S27" i="6"/>
  <c r="U28" i="6"/>
  <c r="L55" i="10"/>
  <c r="H41" i="7"/>
  <c r="H43" i="7"/>
  <c r="U43" i="7"/>
  <c r="S41" i="7"/>
  <c r="S43" i="7"/>
  <c r="F43" i="7"/>
  <c r="V63" i="14"/>
  <c r="AV17" i="14"/>
  <c r="AG19" i="14"/>
  <c r="I65" i="14"/>
  <c r="AI40" i="14"/>
  <c r="I40" i="14"/>
  <c r="V84" i="14"/>
  <c r="I84" i="14"/>
  <c r="G65" i="14"/>
  <c r="T65" i="14"/>
  <c r="AT19" i="14"/>
  <c r="AV40" i="14"/>
  <c r="G84" i="14"/>
  <c r="AT40" i="14"/>
  <c r="AG82" i="14"/>
  <c r="AG84" i="14"/>
  <c r="AI84" i="14"/>
  <c r="AV65" i="14"/>
  <c r="AG38" i="14"/>
  <c r="AG40" i="14"/>
  <c r="AI19" i="14"/>
  <c r="T82" i="14"/>
  <c r="T84" i="14"/>
  <c r="BE37" i="17" l="1"/>
  <c r="BE13" i="17"/>
  <c r="AY37" i="17"/>
  <c r="BF37" i="17"/>
  <c r="BG23" i="17"/>
  <c r="BG12" i="17" s="1"/>
  <c r="BG13" i="17" s="1"/>
  <c r="BG26" i="17"/>
  <c r="BG25" i="17"/>
  <c r="BH32" i="17"/>
  <c r="BH36" i="17"/>
  <c r="BH34" i="17"/>
  <c r="BH11" i="17"/>
  <c r="AC511" i="10"/>
  <c r="BH24" i="17"/>
  <c r="BH23" i="17" s="1"/>
  <c r="BH12" i="17" s="1"/>
  <c r="BD37" i="17"/>
  <c r="AC471" i="10"/>
  <c r="BD24" i="17"/>
  <c r="AC487" i="10"/>
  <c r="BF24" i="17"/>
  <c r="BC36" i="17"/>
  <c r="BC34" i="17"/>
  <c r="BC32" i="17"/>
  <c r="BC11" i="17"/>
  <c r="AC463" i="10"/>
  <c r="BC24" i="17"/>
  <c r="BC23" i="17" s="1"/>
  <c r="BC12" i="17" s="1"/>
  <c r="BE26" i="17"/>
  <c r="BE25" i="17"/>
  <c r="AC439" i="10"/>
  <c r="BA24" i="17"/>
  <c r="BA23" i="17" s="1"/>
  <c r="BA12" i="17" s="1"/>
  <c r="BB34" i="17"/>
  <c r="BB32" i="17"/>
  <c r="BB36" i="17"/>
  <c r="BB11" i="17"/>
  <c r="AC431" i="10"/>
  <c r="AZ24" i="17"/>
  <c r="AC447" i="10"/>
  <c r="BB24" i="17"/>
  <c r="BB23" i="17" s="1"/>
  <c r="BB12" i="17" s="1"/>
  <c r="AZ37" i="17"/>
  <c r="AY13" i="17"/>
  <c r="BA36" i="17"/>
  <c r="BA34" i="17"/>
  <c r="BA32" i="17"/>
  <c r="BA11" i="17"/>
  <c r="Y36" i="12"/>
  <c r="AA11" i="12"/>
  <c r="AA10" i="12"/>
  <c r="AA35" i="12"/>
  <c r="AA31" i="12"/>
  <c r="AA33" i="12"/>
  <c r="T153" i="10"/>
  <c r="S153" i="10"/>
  <c r="S151" i="10"/>
  <c r="AC489" i="10"/>
  <c r="AC449" i="10"/>
  <c r="U36" i="12"/>
  <c r="AC441" i="10"/>
  <c r="G110" i="14"/>
  <c r="G132" i="14"/>
  <c r="AC473" i="10"/>
  <c r="AC465" i="10"/>
  <c r="AC454" i="10"/>
  <c r="O49" i="10"/>
  <c r="AC479" i="10"/>
  <c r="AC481" i="10"/>
  <c r="AC433" i="10"/>
  <c r="AC414" i="10"/>
  <c r="W36" i="12"/>
  <c r="AC496" i="10"/>
  <c r="AB25" i="12"/>
  <c r="V24" i="12"/>
  <c r="V25" i="12"/>
  <c r="V22" i="12"/>
  <c r="V12" i="12" s="1"/>
  <c r="AC513" i="10"/>
  <c r="AC494" i="10"/>
  <c r="AA23" i="12" s="1"/>
  <c r="AA24" i="12" s="1"/>
  <c r="AC503" i="10"/>
  <c r="AC505" i="10"/>
  <c r="Z31" i="12"/>
  <c r="Z33" i="12"/>
  <c r="Z35" i="12"/>
  <c r="Z11" i="12"/>
  <c r="X25" i="12"/>
  <c r="X24" i="12"/>
  <c r="X22" i="12"/>
  <c r="X12" i="12" s="1"/>
  <c r="BC13" i="17" l="1"/>
  <c r="BA13" i="17"/>
  <c r="BH13" i="17"/>
  <c r="BH37" i="17"/>
  <c r="BH25" i="17"/>
  <c r="BH26" i="17"/>
  <c r="BC26" i="17"/>
  <c r="BC25" i="17"/>
  <c r="BD26" i="17"/>
  <c r="BD25" i="17"/>
  <c r="BD23" i="17"/>
  <c r="BD12" i="17" s="1"/>
  <c r="BD13" i="17" s="1"/>
  <c r="BF26" i="17"/>
  <c r="BF25" i="17"/>
  <c r="BF23" i="17"/>
  <c r="BF12" i="17" s="1"/>
  <c r="BF13" i="17" s="1"/>
  <c r="BC37" i="17"/>
  <c r="BB13" i="17"/>
  <c r="BB37" i="17"/>
  <c r="BB26" i="17"/>
  <c r="BB25" i="17"/>
  <c r="BA26" i="17"/>
  <c r="BA25" i="17"/>
  <c r="BA37" i="17"/>
  <c r="AZ26" i="17"/>
  <c r="AZ25" i="17"/>
  <c r="AZ23" i="17"/>
  <c r="AZ12" i="17" s="1"/>
  <c r="AZ13" i="17" s="1"/>
  <c r="AC457" i="10"/>
  <c r="Z23" i="12"/>
  <c r="AA22" i="12"/>
  <c r="AA12" i="12" s="1"/>
  <c r="AC417" i="10"/>
  <c r="Y23" i="12"/>
  <c r="AA25" i="12"/>
  <c r="AA36" i="12"/>
  <c r="AC455" i="10"/>
  <c r="U25" i="12"/>
  <c r="AC415" i="10"/>
  <c r="AB22" i="12"/>
  <c r="AB12" i="12" s="1"/>
  <c r="AB24" i="12"/>
  <c r="AC495" i="10"/>
  <c r="AC497" i="10"/>
  <c r="W22" i="12"/>
  <c r="W12" i="12" s="1"/>
  <c r="W25" i="12"/>
  <c r="W24" i="12"/>
  <c r="Z36" i="12"/>
  <c r="AC7" i="12"/>
  <c r="Y25" i="12" l="1"/>
  <c r="Y22" i="12"/>
  <c r="Y12" i="12" s="1"/>
  <c r="Y24" i="12"/>
  <c r="U22" i="12"/>
  <c r="U12" i="12" s="1"/>
  <c r="U24" i="12"/>
  <c r="Z25" i="12"/>
  <c r="Z22" i="12"/>
  <c r="Z12" i="12" s="1"/>
  <c r="Z24" i="12"/>
  <c r="F6" i="8"/>
  <c r="H6" i="8"/>
  <c r="F7" i="8"/>
  <c r="H7" i="8"/>
  <c r="F8" i="8"/>
  <c r="H8" i="8"/>
  <c r="F9" i="8"/>
  <c r="H9" i="8"/>
  <c r="F10" i="8"/>
  <c r="H10" i="8"/>
  <c r="F11" i="8"/>
  <c r="H11" i="8"/>
  <c r="F12" i="8"/>
  <c r="H12" i="8"/>
  <c r="H5" i="8"/>
  <c r="F5" i="8"/>
  <c r="L20" i="8"/>
  <c r="K20" i="8"/>
  <c r="X37" i="10" s="1"/>
  <c r="J20" i="8"/>
  <c r="X13" i="10" s="1"/>
  <c r="I20" i="8"/>
  <c r="X29" i="10" s="1"/>
  <c r="E20" i="8"/>
  <c r="X181" i="10" s="1"/>
  <c r="D20" i="8"/>
  <c r="X173" i="10" s="1"/>
  <c r="C20" i="8"/>
  <c r="X165" i="10" s="1"/>
  <c r="B20" i="8"/>
  <c r="X157" i="10" s="1"/>
  <c r="L19" i="8"/>
  <c r="X20" i="10" s="1"/>
  <c r="K19" i="8"/>
  <c r="X36" i="10" s="1"/>
  <c r="J19" i="8"/>
  <c r="X12" i="10" s="1"/>
  <c r="I19" i="8"/>
  <c r="X28" i="10" s="1"/>
  <c r="E19" i="8"/>
  <c r="X180" i="10" s="1"/>
  <c r="D19" i="8"/>
  <c r="X172" i="10" s="1"/>
  <c r="C19" i="8"/>
  <c r="X164" i="10" s="1"/>
  <c r="B19" i="8"/>
  <c r="X156" i="10" s="1"/>
  <c r="F10" i="4"/>
  <c r="H10" i="4"/>
  <c r="F12" i="3"/>
  <c r="H12" i="3"/>
  <c r="F13" i="3"/>
  <c r="H13" i="3"/>
  <c r="X148" i="10" l="1"/>
  <c r="X149" i="10"/>
  <c r="S7" i="12" s="1"/>
  <c r="X4" i="10"/>
  <c r="L21" i="8"/>
  <c r="X21" i="10"/>
  <c r="X5" i="10" s="1"/>
  <c r="K21" i="8"/>
  <c r="X38" i="10" s="1"/>
  <c r="D21" i="8"/>
  <c r="E23" i="8"/>
  <c r="X184" i="10" s="1"/>
  <c r="E21" i="8"/>
  <c r="X182" i="10" s="1"/>
  <c r="I21" i="8"/>
  <c r="X30" i="10" s="1"/>
  <c r="J21" i="8"/>
  <c r="C21" i="8"/>
  <c r="X166" i="10" s="1"/>
  <c r="H3" i="8"/>
  <c r="F19" i="8"/>
  <c r="X44" i="10" s="1"/>
  <c r="L4" i="10"/>
  <c r="G6" i="8"/>
  <c r="G12" i="8"/>
  <c r="G8" i="8"/>
  <c r="G7" i="8"/>
  <c r="G9" i="8"/>
  <c r="K23" i="8"/>
  <c r="X40" i="10" s="1"/>
  <c r="I23" i="8"/>
  <c r="X32" i="10" s="1"/>
  <c r="H20" i="8"/>
  <c r="D23" i="8"/>
  <c r="X176" i="10" s="1"/>
  <c r="F20" i="8"/>
  <c r="G11" i="8"/>
  <c r="G10" i="8"/>
  <c r="H19" i="8"/>
  <c r="L24" i="8"/>
  <c r="X25" i="10" s="1"/>
  <c r="B21" i="8"/>
  <c r="X158" i="10" s="1"/>
  <c r="J23" i="8"/>
  <c r="X16" i="10" s="1"/>
  <c r="B23" i="8"/>
  <c r="X160" i="10" s="1"/>
  <c r="C23" i="8"/>
  <c r="X168" i="10" s="1"/>
  <c r="L23" i="8"/>
  <c r="X24" i="10" s="1"/>
  <c r="G10" i="4"/>
  <c r="G13" i="3"/>
  <c r="G12" i="3"/>
  <c r="X152" i="10" l="1"/>
  <c r="D24" i="8"/>
  <c r="X177" i="10" s="1"/>
  <c r="X174" i="10"/>
  <c r="X150" i="10" s="1"/>
  <c r="J24" i="8"/>
  <c r="X17" i="10" s="1"/>
  <c r="X14" i="10"/>
  <c r="X45" i="10"/>
  <c r="X8" i="10"/>
  <c r="L22" i="8"/>
  <c r="X23" i="10" s="1"/>
  <c r="X22" i="10"/>
  <c r="K24" i="8"/>
  <c r="X41" i="10" s="1"/>
  <c r="K22" i="8"/>
  <c r="X39" i="10" s="1"/>
  <c r="I24" i="8"/>
  <c r="X33" i="10" s="1"/>
  <c r="H21" i="8"/>
  <c r="H22" i="8" s="1"/>
  <c r="C22" i="8"/>
  <c r="X167" i="10" s="1"/>
  <c r="B24" i="8"/>
  <c r="X161" i="10" s="1"/>
  <c r="E22" i="8"/>
  <c r="X183" i="10" s="1"/>
  <c r="C24" i="8"/>
  <c r="X169" i="10" s="1"/>
  <c r="J22" i="8"/>
  <c r="X15" i="10" s="1"/>
  <c r="L6" i="10"/>
  <c r="I22" i="8"/>
  <c r="X31" i="10" s="1"/>
  <c r="D22" i="8"/>
  <c r="X175" i="10" s="1"/>
  <c r="L5" i="10"/>
  <c r="L8" i="10"/>
  <c r="F23" i="8"/>
  <c r="X48" i="10" s="1"/>
  <c r="H23" i="8"/>
  <c r="F21" i="8"/>
  <c r="X46" i="10" s="1"/>
  <c r="B22" i="8"/>
  <c r="X159" i="10" s="1"/>
  <c r="X153" i="10" l="1"/>
  <c r="X151" i="10"/>
  <c r="X9" i="10"/>
  <c r="X6" i="10"/>
  <c r="X7" i="10" s="1"/>
  <c r="L9" i="10"/>
  <c r="H24" i="8"/>
  <c r="L7" i="10"/>
  <c r="F22" i="8"/>
  <c r="X47" i="10" s="1"/>
  <c r="F24" i="8"/>
  <c r="X49" i="10" s="1"/>
  <c r="AC27" i="12"/>
  <c r="AC20" i="12"/>
  <c r="AC17" i="12"/>
  <c r="AC18" i="12"/>
  <c r="AC15" i="12" l="1"/>
  <c r="AC4" i="12" l="1"/>
  <c r="P34" i="12" l="1"/>
  <c r="P32" i="12"/>
  <c r="P29" i="12"/>
  <c r="P30" i="12"/>
  <c r="P28" i="12"/>
  <c r="P20" i="12"/>
  <c r="P27" i="12"/>
  <c r="P15" i="12"/>
  <c r="P4" i="12"/>
  <c r="P40" i="12" l="1"/>
  <c r="AE4" i="12"/>
  <c r="P17" i="12"/>
  <c r="P18" i="12"/>
  <c r="AG4" i="12" l="1"/>
  <c r="AE18" i="12"/>
  <c r="AH18" i="12" l="1"/>
  <c r="AP18" i="12"/>
  <c r="AQ18" i="12"/>
  <c r="AJ18" i="12"/>
  <c r="AR18" i="12"/>
  <c r="AK18" i="12"/>
  <c r="AS18" i="12"/>
  <c r="AM18" i="12"/>
  <c r="AO18" i="12"/>
  <c r="AL18" i="12"/>
  <c r="AT18" i="12"/>
  <c r="AN18" i="12"/>
  <c r="AI18" i="12"/>
  <c r="AG18" i="12"/>
  <c r="S5" i="8" l="1"/>
  <c r="AF6" i="8"/>
  <c r="AH6" i="8"/>
  <c r="AF7" i="8"/>
  <c r="AH7" i="8"/>
  <c r="AF8" i="8"/>
  <c r="AH8" i="8"/>
  <c r="AF9" i="8"/>
  <c r="AH9" i="8"/>
  <c r="AF10" i="8"/>
  <c r="AH10" i="8"/>
  <c r="AF11" i="8"/>
  <c r="AH11" i="8"/>
  <c r="S6" i="8"/>
  <c r="U6" i="8"/>
  <c r="S7" i="8"/>
  <c r="U7" i="8"/>
  <c r="S8" i="8"/>
  <c r="U8" i="8"/>
  <c r="S9" i="8"/>
  <c r="U9" i="8"/>
  <c r="S10" i="8"/>
  <c r="U10" i="8"/>
  <c r="S11" i="8"/>
  <c r="U11" i="8"/>
  <c r="S12" i="8"/>
  <c r="U12" i="8"/>
  <c r="S6" i="7"/>
  <c r="U6" i="7"/>
  <c r="S7" i="7"/>
  <c r="U7" i="7"/>
  <c r="S8" i="7"/>
  <c r="U8" i="7"/>
  <c r="S9" i="7"/>
  <c r="U9" i="7"/>
  <c r="S10" i="7"/>
  <c r="U10" i="7"/>
  <c r="S11" i="7"/>
  <c r="U11" i="7"/>
  <c r="F6" i="7"/>
  <c r="H6" i="7"/>
  <c r="F7" i="7"/>
  <c r="H7" i="7"/>
  <c r="F8" i="7"/>
  <c r="H8" i="7"/>
  <c r="F9" i="7"/>
  <c r="H9" i="7"/>
  <c r="F10" i="7"/>
  <c r="H10" i="7"/>
  <c r="F11" i="7"/>
  <c r="H11" i="7"/>
  <c r="F12" i="7"/>
  <c r="H12" i="7"/>
  <c r="S58" i="6"/>
  <c r="U58" i="6"/>
  <c r="F58" i="6"/>
  <c r="H58" i="6"/>
  <c r="AH5" i="8"/>
  <c r="AF5" i="8"/>
  <c r="U5" i="7"/>
  <c r="S5" i="7"/>
  <c r="U57" i="6"/>
  <c r="S57" i="6"/>
  <c r="S55" i="6" s="1"/>
  <c r="U5" i="8"/>
  <c r="H5" i="7"/>
  <c r="F5" i="7"/>
  <c r="H57" i="6"/>
  <c r="F57" i="6"/>
  <c r="F55" i="6" s="1"/>
  <c r="F5" i="5"/>
  <c r="H5" i="5"/>
  <c r="F6" i="5"/>
  <c r="H6" i="5"/>
  <c r="F7" i="5"/>
  <c r="H7" i="5"/>
  <c r="F8" i="5"/>
  <c r="H8" i="5"/>
  <c r="F9" i="5"/>
  <c r="H9" i="5"/>
  <c r="F10" i="5"/>
  <c r="H10" i="5"/>
  <c r="H4" i="5"/>
  <c r="H1" i="5" s="1"/>
  <c r="F4" i="5"/>
  <c r="S5" i="5"/>
  <c r="U5" i="5"/>
  <c r="S6" i="5"/>
  <c r="U6" i="5"/>
  <c r="S7" i="5"/>
  <c r="U7" i="5"/>
  <c r="S8" i="5"/>
  <c r="U8" i="5"/>
  <c r="U4" i="5"/>
  <c r="S4" i="5"/>
  <c r="F5" i="4"/>
  <c r="H5" i="4"/>
  <c r="F6" i="4"/>
  <c r="H6" i="4"/>
  <c r="F7" i="4"/>
  <c r="H7" i="4"/>
  <c r="F8" i="4"/>
  <c r="H8" i="4"/>
  <c r="F9" i="4"/>
  <c r="H9" i="4"/>
  <c r="H4" i="4"/>
  <c r="H1" i="4" s="1"/>
  <c r="F4" i="4"/>
  <c r="S5" i="4"/>
  <c r="U5" i="4"/>
  <c r="S6" i="4"/>
  <c r="U6" i="4"/>
  <c r="S7" i="4"/>
  <c r="U7" i="4"/>
  <c r="S8" i="4"/>
  <c r="U8" i="4"/>
  <c r="S9" i="4"/>
  <c r="U9" i="4"/>
  <c r="S10" i="4"/>
  <c r="U10" i="4"/>
  <c r="U4" i="4"/>
  <c r="U1" i="4" s="1"/>
  <c r="S4" i="4"/>
  <c r="S4" i="3"/>
  <c r="U4" i="3"/>
  <c r="U55" i="6" l="1"/>
  <c r="F1" i="5"/>
  <c r="AH3" i="8"/>
  <c r="AF3" i="8"/>
  <c r="H3" i="7"/>
  <c r="G43" i="12"/>
  <c r="F18" i="7"/>
  <c r="U3" i="7"/>
  <c r="S3" i="7"/>
  <c r="T5" i="8"/>
  <c r="Z44" i="10"/>
  <c r="F3" i="7"/>
  <c r="G6" i="7"/>
  <c r="T4" i="5"/>
  <c r="AG6" i="8"/>
  <c r="AG11" i="8"/>
  <c r="T10" i="8"/>
  <c r="T9" i="8"/>
  <c r="AG9" i="8"/>
  <c r="AG8" i="8"/>
  <c r="AG7" i="8"/>
  <c r="AG10" i="8"/>
  <c r="AG5" i="8"/>
  <c r="T12" i="8"/>
  <c r="T8" i="8"/>
  <c r="T11" i="8"/>
  <c r="T7" i="8"/>
  <c r="T6" i="8"/>
  <c r="S3" i="8"/>
  <c r="T8" i="7"/>
  <c r="T9" i="7"/>
  <c r="T6" i="7"/>
  <c r="G11" i="7"/>
  <c r="G7" i="7"/>
  <c r="T5" i="7"/>
  <c r="T11" i="7"/>
  <c r="T7" i="7"/>
  <c r="T10" i="7"/>
  <c r="G9" i="7"/>
  <c r="G12" i="7"/>
  <c r="G8" i="7"/>
  <c r="G5" i="7"/>
  <c r="G10" i="7"/>
  <c r="G58" i="6"/>
  <c r="T58" i="6"/>
  <c r="T57" i="6"/>
  <c r="G57" i="6"/>
  <c r="AF69" i="6"/>
  <c r="T5" i="5"/>
  <c r="G5" i="5"/>
  <c r="T8" i="5"/>
  <c r="G10" i="5"/>
  <c r="G6" i="5"/>
  <c r="T7" i="5"/>
  <c r="U1" i="5"/>
  <c r="S1" i="5"/>
  <c r="T6" i="5"/>
  <c r="G4" i="5"/>
  <c r="G8" i="5"/>
  <c r="G9" i="5"/>
  <c r="G6" i="4"/>
  <c r="T5" i="4"/>
  <c r="T9" i="4"/>
  <c r="T7" i="4"/>
  <c r="T10" i="4"/>
  <c r="T6" i="4"/>
  <c r="G9" i="4"/>
  <c r="G5" i="4"/>
  <c r="T4" i="4"/>
  <c r="S1" i="4"/>
  <c r="G8" i="4"/>
  <c r="G7" i="4"/>
  <c r="T8" i="4"/>
  <c r="G4" i="4"/>
  <c r="F1" i="4"/>
  <c r="T4" i="3"/>
  <c r="G7" i="5"/>
  <c r="U12" i="4"/>
  <c r="E44" i="10" s="1"/>
  <c r="S12" i="4"/>
  <c r="I43" i="12" l="1"/>
  <c r="K43" i="12"/>
  <c r="J43" i="12"/>
  <c r="AF73" i="6"/>
  <c r="AF74" i="6"/>
  <c r="BY44" i="17" l="1"/>
  <c r="BU44" i="17"/>
  <c r="AL20" i="8"/>
  <c r="Z21" i="10" s="1"/>
  <c r="AK20" i="8"/>
  <c r="Z37" i="10" s="1"/>
  <c r="AJ20" i="8"/>
  <c r="Z13" i="10" s="1"/>
  <c r="AI20" i="8"/>
  <c r="Z29" i="10" s="1"/>
  <c r="AE20" i="8"/>
  <c r="Z181" i="10" s="1"/>
  <c r="AD20" i="8"/>
  <c r="Z173" i="10" s="1"/>
  <c r="AC20" i="8"/>
  <c r="Z165" i="10" s="1"/>
  <c r="AB20" i="8"/>
  <c r="Z157" i="10" s="1"/>
  <c r="Y20" i="8"/>
  <c r="Y181" i="10" s="1"/>
  <c r="X20" i="8"/>
  <c r="Y173" i="10" s="1"/>
  <c r="AC173" i="10" s="1"/>
  <c r="W20" i="8"/>
  <c r="Y165" i="10" s="1"/>
  <c r="V20" i="8"/>
  <c r="Y157" i="10" s="1"/>
  <c r="R20" i="8"/>
  <c r="Y29" i="10" s="1"/>
  <c r="Q20" i="8"/>
  <c r="Y21" i="10" s="1"/>
  <c r="P20" i="8"/>
  <c r="Y37" i="10" s="1"/>
  <c r="O20" i="8"/>
  <c r="Y13" i="10" s="1"/>
  <c r="AL19" i="8"/>
  <c r="Z20" i="10" s="1"/>
  <c r="AK19" i="8"/>
  <c r="Z36" i="10" s="1"/>
  <c r="AJ19" i="8"/>
  <c r="Z12" i="10" s="1"/>
  <c r="AI19" i="8"/>
  <c r="Z28" i="10" s="1"/>
  <c r="AE19" i="8"/>
  <c r="Z180" i="10" s="1"/>
  <c r="AD19" i="8"/>
  <c r="Z172" i="10" s="1"/>
  <c r="AC19" i="8"/>
  <c r="Z164" i="10" s="1"/>
  <c r="AB19" i="8"/>
  <c r="Z156" i="10" s="1"/>
  <c r="Y19" i="8"/>
  <c r="Y180" i="10" s="1"/>
  <c r="AC180" i="10" s="1"/>
  <c r="AA9" i="17" s="1"/>
  <c r="X19" i="8"/>
  <c r="Y172" i="10" s="1"/>
  <c r="AC172" i="10" s="1"/>
  <c r="Z9" i="17" s="1"/>
  <c r="W19" i="8"/>
  <c r="Y164" i="10" s="1"/>
  <c r="V19" i="8"/>
  <c r="Y156" i="10" s="1"/>
  <c r="R19" i="8"/>
  <c r="Y28" i="10" s="1"/>
  <c r="Q19" i="8"/>
  <c r="Y20" i="10" s="1"/>
  <c r="P19" i="8"/>
  <c r="Y36" i="10" s="1"/>
  <c r="O19" i="8"/>
  <c r="Y12" i="10" s="1"/>
  <c r="Y19" i="7"/>
  <c r="T21" i="10" s="1"/>
  <c r="X19" i="7"/>
  <c r="T37" i="10" s="1"/>
  <c r="W19" i="7"/>
  <c r="T13" i="10" s="1"/>
  <c r="V19" i="7"/>
  <c r="T29" i="10" s="1"/>
  <c r="R19" i="7"/>
  <c r="T125" i="10" s="1"/>
  <c r="Q19" i="7"/>
  <c r="T117" i="10" s="1"/>
  <c r="P19" i="7"/>
  <c r="T109" i="10" s="1"/>
  <c r="O19" i="7"/>
  <c r="T101" i="10" s="1"/>
  <c r="L19" i="7"/>
  <c r="S125" i="10" s="1"/>
  <c r="K19" i="7"/>
  <c r="S117" i="10" s="1"/>
  <c r="J19" i="7"/>
  <c r="S109" i="10" s="1"/>
  <c r="I19" i="7"/>
  <c r="S101" i="10" s="1"/>
  <c r="E19" i="7"/>
  <c r="S29" i="10" s="1"/>
  <c r="D19" i="7"/>
  <c r="S21" i="10" s="1"/>
  <c r="C19" i="7"/>
  <c r="S37" i="10" s="1"/>
  <c r="B19" i="7"/>
  <c r="S13" i="10" s="1"/>
  <c r="Y18" i="7"/>
  <c r="X18" i="7"/>
  <c r="T36" i="10" s="1"/>
  <c r="W18" i="7"/>
  <c r="T12" i="10" s="1"/>
  <c r="V18" i="7"/>
  <c r="T28" i="10" s="1"/>
  <c r="R18" i="7"/>
  <c r="T124" i="10" s="1"/>
  <c r="Q18" i="7"/>
  <c r="T116" i="10" s="1"/>
  <c r="P18" i="7"/>
  <c r="T108" i="10" s="1"/>
  <c r="O18" i="7"/>
  <c r="T100" i="10" s="1"/>
  <c r="L18" i="7"/>
  <c r="S124" i="10" s="1"/>
  <c r="K18" i="7"/>
  <c r="S116" i="10" s="1"/>
  <c r="J18" i="7"/>
  <c r="S108" i="10" s="1"/>
  <c r="I18" i="7"/>
  <c r="S100" i="10" s="1"/>
  <c r="E18" i="7"/>
  <c r="S28" i="10" s="1"/>
  <c r="D18" i="7"/>
  <c r="S20" i="10" s="1"/>
  <c r="C18" i="7"/>
  <c r="S36" i="10" s="1"/>
  <c r="B18" i="7"/>
  <c r="S12" i="10" s="1"/>
  <c r="U18" i="7"/>
  <c r="S18" i="7"/>
  <c r="Y70" i="6"/>
  <c r="O61" i="10" s="1"/>
  <c r="X70" i="6"/>
  <c r="O85" i="10" s="1"/>
  <c r="W70" i="6"/>
  <c r="O77" i="10" s="1"/>
  <c r="V70" i="6"/>
  <c r="O69" i="10" s="1"/>
  <c r="R70" i="6"/>
  <c r="Q70" i="6"/>
  <c r="P70" i="6"/>
  <c r="O70" i="6"/>
  <c r="L70" i="6"/>
  <c r="K70" i="6"/>
  <c r="J70" i="6"/>
  <c r="I70" i="6"/>
  <c r="E70" i="6"/>
  <c r="N85" i="10" s="1"/>
  <c r="D70" i="6"/>
  <c r="N77" i="10" s="1"/>
  <c r="C70" i="6"/>
  <c r="N69" i="10" s="1"/>
  <c r="B70" i="6"/>
  <c r="N61" i="10" s="1"/>
  <c r="Y69" i="6"/>
  <c r="O60" i="10" s="1"/>
  <c r="X69" i="6"/>
  <c r="O84" i="10" s="1"/>
  <c r="W69" i="6"/>
  <c r="O76" i="10" s="1"/>
  <c r="V69" i="6"/>
  <c r="O68" i="10" s="1"/>
  <c r="R69" i="6"/>
  <c r="Q69" i="6"/>
  <c r="P69" i="6"/>
  <c r="O69" i="6"/>
  <c r="L69" i="6"/>
  <c r="K69" i="6"/>
  <c r="J69" i="6"/>
  <c r="I69" i="6"/>
  <c r="E69" i="6"/>
  <c r="N84" i="10" s="1"/>
  <c r="D69" i="6"/>
  <c r="N76" i="10" s="1"/>
  <c r="C69" i="6"/>
  <c r="N68" i="10" s="1"/>
  <c r="B69" i="6"/>
  <c r="N60" i="10" s="1"/>
  <c r="L15" i="5"/>
  <c r="L16" i="5" s="1"/>
  <c r="L17" i="5" s="1"/>
  <c r="K15" i="5"/>
  <c r="K16" i="5" s="1"/>
  <c r="K17" i="5" s="1"/>
  <c r="J15" i="5"/>
  <c r="J16" i="5" s="1"/>
  <c r="J17" i="5" s="1"/>
  <c r="I15" i="5"/>
  <c r="E15" i="5"/>
  <c r="F37" i="10" s="1"/>
  <c r="D15" i="5"/>
  <c r="F13" i="10" s="1"/>
  <c r="C15" i="5"/>
  <c r="F29" i="10" s="1"/>
  <c r="B15" i="5"/>
  <c r="F21" i="10" s="1"/>
  <c r="Y15" i="5"/>
  <c r="G21" i="10" s="1"/>
  <c r="X15" i="5"/>
  <c r="G37" i="10" s="1"/>
  <c r="W15" i="5"/>
  <c r="G13" i="10" s="1"/>
  <c r="V15" i="5"/>
  <c r="G29" i="10" s="1"/>
  <c r="R15" i="5"/>
  <c r="R16" i="5" s="1"/>
  <c r="R17" i="5" s="1"/>
  <c r="Q15" i="5"/>
  <c r="Q16" i="5" s="1"/>
  <c r="Q17" i="5" s="1"/>
  <c r="P15" i="5"/>
  <c r="P16" i="5" s="1"/>
  <c r="P17" i="5" s="1"/>
  <c r="O15" i="5"/>
  <c r="O16" i="5" s="1"/>
  <c r="O17" i="5" s="1"/>
  <c r="L14" i="5"/>
  <c r="K14" i="5"/>
  <c r="J14" i="5"/>
  <c r="I14" i="5"/>
  <c r="E14" i="5"/>
  <c r="F36" i="10" s="1"/>
  <c r="D14" i="5"/>
  <c r="F12" i="10" s="1"/>
  <c r="C14" i="5"/>
  <c r="F28" i="10" s="1"/>
  <c r="B14" i="5"/>
  <c r="F20" i="10" s="1"/>
  <c r="Y14" i="5"/>
  <c r="G20" i="10" s="1"/>
  <c r="X14" i="5"/>
  <c r="G36" i="10" s="1"/>
  <c r="W14" i="5"/>
  <c r="G12" i="10" s="1"/>
  <c r="V14" i="5"/>
  <c r="G28" i="10" s="1"/>
  <c r="R14" i="5"/>
  <c r="Q14" i="5"/>
  <c r="P14" i="5"/>
  <c r="O14" i="5"/>
  <c r="O12" i="4"/>
  <c r="E20" i="10" s="1"/>
  <c r="O13" i="4"/>
  <c r="E21" i="10" s="1"/>
  <c r="L13" i="4"/>
  <c r="K13" i="4"/>
  <c r="J13" i="4"/>
  <c r="I13" i="4"/>
  <c r="D13" i="10" s="1"/>
  <c r="E13" i="4"/>
  <c r="D13" i="4"/>
  <c r="C13" i="4"/>
  <c r="B13" i="4"/>
  <c r="Y13" i="4"/>
  <c r="X13" i="4"/>
  <c r="W13" i="4"/>
  <c r="V13" i="4"/>
  <c r="R13" i="4"/>
  <c r="Q13" i="4"/>
  <c r="P13" i="4"/>
  <c r="L12" i="4"/>
  <c r="D28" i="10" s="1"/>
  <c r="K12" i="4"/>
  <c r="D20" i="10" s="1"/>
  <c r="J12" i="4"/>
  <c r="D36" i="10" s="1"/>
  <c r="I12" i="4"/>
  <c r="D12" i="10" s="1"/>
  <c r="E12" i="4"/>
  <c r="D12" i="4"/>
  <c r="C12" i="4"/>
  <c r="B12" i="4"/>
  <c r="Y12" i="4"/>
  <c r="X12" i="4"/>
  <c r="W12" i="4"/>
  <c r="V12" i="4"/>
  <c r="R12" i="4"/>
  <c r="E36" i="10" s="1"/>
  <c r="Q12" i="4"/>
  <c r="E12" i="10" s="1"/>
  <c r="P12" i="4"/>
  <c r="E28" i="10" s="1"/>
  <c r="U12" i="3"/>
  <c r="U13" i="3"/>
  <c r="S12" i="3"/>
  <c r="S13" i="3"/>
  <c r="S5" i="3"/>
  <c r="S6" i="3"/>
  <c r="S7" i="3"/>
  <c r="S8" i="3"/>
  <c r="S9" i="3"/>
  <c r="S10" i="3"/>
  <c r="S11" i="3"/>
  <c r="U5" i="3"/>
  <c r="U6" i="3"/>
  <c r="U7" i="3"/>
  <c r="U8" i="3"/>
  <c r="U9" i="3"/>
  <c r="U10" i="3"/>
  <c r="U11" i="3"/>
  <c r="Y16" i="3"/>
  <c r="X16" i="3"/>
  <c r="W16" i="3"/>
  <c r="V16" i="3"/>
  <c r="R16" i="3"/>
  <c r="Q16" i="3"/>
  <c r="P16" i="3"/>
  <c r="O16" i="3"/>
  <c r="Y15" i="3"/>
  <c r="C36" i="10" s="1"/>
  <c r="X15" i="3"/>
  <c r="C12" i="10" s="1"/>
  <c r="W15" i="3"/>
  <c r="C28" i="10" s="1"/>
  <c r="V15" i="3"/>
  <c r="C20" i="10" s="1"/>
  <c r="R15" i="3"/>
  <c r="Q15" i="3"/>
  <c r="P15" i="3"/>
  <c r="O15" i="3"/>
  <c r="L16" i="3"/>
  <c r="K16" i="3"/>
  <c r="J16" i="3"/>
  <c r="I16" i="3"/>
  <c r="C16" i="3"/>
  <c r="D16" i="3"/>
  <c r="E16" i="3"/>
  <c r="B16" i="3"/>
  <c r="B29" i="10" s="1"/>
  <c r="S92" i="10" l="1"/>
  <c r="S93" i="10"/>
  <c r="AC116" i="10"/>
  <c r="AC117" i="10"/>
  <c r="T38" i="17" s="1"/>
  <c r="AC124" i="10"/>
  <c r="AC125" i="10"/>
  <c r="U38" i="17" s="1"/>
  <c r="T92" i="10"/>
  <c r="T93" i="10"/>
  <c r="AC181" i="10"/>
  <c r="AA38" i="17" s="1"/>
  <c r="Z38" i="17"/>
  <c r="AC176" i="10"/>
  <c r="Z148" i="10"/>
  <c r="Z149" i="10"/>
  <c r="Y148" i="10"/>
  <c r="AC156" i="10"/>
  <c r="X9" i="17" s="1"/>
  <c r="Y149" i="10"/>
  <c r="AC157" i="10"/>
  <c r="AC164" i="10"/>
  <c r="Y9" i="17" s="1"/>
  <c r="AC165" i="10"/>
  <c r="Y38" i="17" s="1"/>
  <c r="N52" i="10"/>
  <c r="AC60" i="10"/>
  <c r="N9" i="17" s="1"/>
  <c r="N53" i="10"/>
  <c r="O52" i="10"/>
  <c r="O53" i="10"/>
  <c r="Z4" i="10"/>
  <c r="Z5" i="10"/>
  <c r="E17" i="3"/>
  <c r="B21" i="10"/>
  <c r="Q14" i="4"/>
  <c r="E13" i="10"/>
  <c r="P14" i="4"/>
  <c r="P17" i="4" s="1"/>
  <c r="E33" i="10" s="1"/>
  <c r="E29" i="10"/>
  <c r="D17" i="3"/>
  <c r="B37" i="10"/>
  <c r="C17" i="3"/>
  <c r="B13" i="10"/>
  <c r="R14" i="4"/>
  <c r="E37" i="10"/>
  <c r="V17" i="3"/>
  <c r="C21" i="10"/>
  <c r="Y4" i="10"/>
  <c r="Y5" i="10"/>
  <c r="X17" i="3"/>
  <c r="C13" i="10"/>
  <c r="K14" i="4"/>
  <c r="D21" i="10"/>
  <c r="W17" i="3"/>
  <c r="C29" i="10"/>
  <c r="J14" i="4"/>
  <c r="D37" i="10"/>
  <c r="Y17" i="3"/>
  <c r="C37" i="10"/>
  <c r="L14" i="4"/>
  <c r="D29" i="10"/>
  <c r="T44" i="10"/>
  <c r="T20" i="10"/>
  <c r="T4" i="10" s="1"/>
  <c r="S4" i="10"/>
  <c r="T5" i="10"/>
  <c r="S5" i="10"/>
  <c r="B14" i="4"/>
  <c r="AB21" i="8"/>
  <c r="AC101" i="10"/>
  <c r="R38" i="17" s="1"/>
  <c r="AC21" i="8"/>
  <c r="AD21" i="8"/>
  <c r="AE23" i="8"/>
  <c r="Z184" i="10" s="1"/>
  <c r="AC140" i="10"/>
  <c r="W9" i="17" s="1"/>
  <c r="AE21" i="8"/>
  <c r="Y21" i="8"/>
  <c r="AC100" i="10"/>
  <c r="R9" i="17" s="1"/>
  <c r="W23" i="8"/>
  <c r="Y168" i="10" s="1"/>
  <c r="AC108" i="10"/>
  <c r="S9" i="17" s="1"/>
  <c r="W21" i="8"/>
  <c r="X23" i="8"/>
  <c r="Y176" i="10" s="1"/>
  <c r="AC132" i="10"/>
  <c r="V9" i="17" s="1"/>
  <c r="X21" i="8"/>
  <c r="Y174" i="10" s="1"/>
  <c r="AC220" i="10"/>
  <c r="AE9" i="17" s="1"/>
  <c r="AC196" i="10"/>
  <c r="AB9" i="17" s="1"/>
  <c r="AC212" i="10"/>
  <c r="AD9" i="17" s="1"/>
  <c r="J20" i="7"/>
  <c r="S110" i="10" s="1"/>
  <c r="K20" i="7"/>
  <c r="O20" i="7"/>
  <c r="AC197" i="10"/>
  <c r="AB38" i="17" s="1"/>
  <c r="P20" i="7"/>
  <c r="T110" i="10" s="1"/>
  <c r="Q20" i="7"/>
  <c r="AC228" i="10"/>
  <c r="AF9" i="17" s="1"/>
  <c r="R20" i="7"/>
  <c r="T126" i="10" s="1"/>
  <c r="L20" i="7"/>
  <c r="H18" i="7"/>
  <c r="R22" i="7"/>
  <c r="T128" i="10" s="1"/>
  <c r="J73" i="6"/>
  <c r="AC68" i="10"/>
  <c r="J71" i="6"/>
  <c r="J74" i="6" s="1"/>
  <c r="K71" i="6"/>
  <c r="L73" i="6"/>
  <c r="L71" i="6"/>
  <c r="L74" i="6" s="1"/>
  <c r="O71" i="6"/>
  <c r="O74" i="6" s="1"/>
  <c r="P71" i="6"/>
  <c r="Q73" i="6"/>
  <c r="AC76" i="10"/>
  <c r="P9" i="17" s="1"/>
  <c r="Q71" i="6"/>
  <c r="Q74" i="6" s="1"/>
  <c r="R73" i="6"/>
  <c r="R71" i="6"/>
  <c r="D16" i="5"/>
  <c r="Y23" i="8"/>
  <c r="Y184" i="10" s="1"/>
  <c r="AI23" i="8"/>
  <c r="Z32" i="10" s="1"/>
  <c r="AI21" i="8"/>
  <c r="AJ23" i="8"/>
  <c r="Z16" i="10" s="1"/>
  <c r="AL23" i="8"/>
  <c r="Z24" i="10" s="1"/>
  <c r="AJ21" i="8"/>
  <c r="AL21" i="8"/>
  <c r="AD23" i="8"/>
  <c r="Z176" i="10" s="1"/>
  <c r="P21" i="8"/>
  <c r="Q21" i="8"/>
  <c r="R23" i="8"/>
  <c r="Y32" i="10" s="1"/>
  <c r="M4" i="10"/>
  <c r="R21" i="8"/>
  <c r="O21" i="8"/>
  <c r="J22" i="7"/>
  <c r="S112" i="10" s="1"/>
  <c r="E22" i="7"/>
  <c r="S32" i="10" s="1"/>
  <c r="J4" i="10"/>
  <c r="P22" i="7"/>
  <c r="T112" i="10" s="1"/>
  <c r="Q22" i="7"/>
  <c r="T120" i="10" s="1"/>
  <c r="C20" i="7"/>
  <c r="S38" i="10" s="1"/>
  <c r="K22" i="7"/>
  <c r="S120" i="10" s="1"/>
  <c r="B20" i="7"/>
  <c r="S14" i="10" s="1"/>
  <c r="D20" i="7"/>
  <c r="S22" i="10" s="1"/>
  <c r="E20" i="7"/>
  <c r="S30" i="10" s="1"/>
  <c r="V22" i="7"/>
  <c r="T32" i="10" s="1"/>
  <c r="V20" i="7"/>
  <c r="T30" i="10" s="1"/>
  <c r="W22" i="7"/>
  <c r="T16" i="10" s="1"/>
  <c r="W20" i="7"/>
  <c r="Y20" i="7"/>
  <c r="T22" i="10" s="1"/>
  <c r="P73" i="6"/>
  <c r="K73" i="6"/>
  <c r="V73" i="6"/>
  <c r="O72" i="10" s="1"/>
  <c r="V71" i="6"/>
  <c r="W73" i="6"/>
  <c r="O80" i="10" s="1"/>
  <c r="W71" i="6"/>
  <c r="X73" i="6"/>
  <c r="O88" i="10" s="1"/>
  <c r="Y73" i="6"/>
  <c r="O64" i="10" s="1"/>
  <c r="Y71" i="6"/>
  <c r="I73" i="6"/>
  <c r="B71" i="6"/>
  <c r="C71" i="6"/>
  <c r="D73" i="6"/>
  <c r="N80" i="10" s="1"/>
  <c r="D71" i="6"/>
  <c r="N78" i="10" s="1"/>
  <c r="E71" i="6"/>
  <c r="E73" i="6"/>
  <c r="N88" i="10" s="1"/>
  <c r="B73" i="6"/>
  <c r="N64" i="10" s="1"/>
  <c r="G4" i="10"/>
  <c r="W16" i="5"/>
  <c r="G14" i="10" s="1"/>
  <c r="X16" i="5"/>
  <c r="V16" i="5"/>
  <c r="G30" i="10" s="1"/>
  <c r="Y16" i="5"/>
  <c r="K19" i="5"/>
  <c r="B16" i="5"/>
  <c r="C16" i="5"/>
  <c r="E18" i="5"/>
  <c r="F40" i="10" s="1"/>
  <c r="E16" i="5"/>
  <c r="E4" i="10"/>
  <c r="O14" i="4"/>
  <c r="S13" i="4"/>
  <c r="Y14" i="4"/>
  <c r="Y17" i="4" s="1"/>
  <c r="C14" i="4"/>
  <c r="D14" i="4"/>
  <c r="D17" i="4" s="1"/>
  <c r="E14" i="4"/>
  <c r="R17" i="4"/>
  <c r="E41" i="10" s="1"/>
  <c r="V14" i="4"/>
  <c r="V17" i="4" s="1"/>
  <c r="U13" i="4"/>
  <c r="E45" i="10" s="1"/>
  <c r="W14" i="4"/>
  <c r="W17" i="4" s="1"/>
  <c r="X14" i="4"/>
  <c r="U1" i="3"/>
  <c r="W20" i="3"/>
  <c r="C33" i="10" s="1"/>
  <c r="T10" i="3"/>
  <c r="T6" i="3"/>
  <c r="T13" i="3"/>
  <c r="T11" i="3"/>
  <c r="T12" i="3"/>
  <c r="T9" i="3"/>
  <c r="T8" i="3"/>
  <c r="O17" i="3"/>
  <c r="O20" i="3" s="1"/>
  <c r="R17" i="3"/>
  <c r="S15" i="3"/>
  <c r="C44" i="10" s="1"/>
  <c r="T7" i="3"/>
  <c r="D4" i="10"/>
  <c r="Q17" i="3"/>
  <c r="S1" i="3"/>
  <c r="T5" i="3"/>
  <c r="P17" i="3"/>
  <c r="P20" i="3" s="1"/>
  <c r="I17" i="3"/>
  <c r="L17" i="3"/>
  <c r="J17" i="3"/>
  <c r="K17" i="3"/>
  <c r="AK22" i="8"/>
  <c r="Z39" i="10" s="1"/>
  <c r="X20" i="3"/>
  <c r="C17" i="10" s="1"/>
  <c r="U16" i="3"/>
  <c r="U17" i="3"/>
  <c r="F16" i="3"/>
  <c r="C73" i="6"/>
  <c r="N72" i="10" s="1"/>
  <c r="O73" i="6"/>
  <c r="L19" i="5"/>
  <c r="S16" i="3"/>
  <c r="C45" i="10" s="1"/>
  <c r="S19" i="8"/>
  <c r="H16" i="3"/>
  <c r="B45" i="10" s="1"/>
  <c r="AC23" i="8"/>
  <c r="Z168" i="10" s="1"/>
  <c r="AH19" i="8"/>
  <c r="U20" i="8"/>
  <c r="Y45" i="10" s="1"/>
  <c r="U19" i="8"/>
  <c r="Y44" i="10" s="1"/>
  <c r="AH20" i="8"/>
  <c r="AF20" i="8"/>
  <c r="Z45" i="10" s="1"/>
  <c r="V21" i="8"/>
  <c r="Y158" i="10" s="1"/>
  <c r="Q23" i="8"/>
  <c r="Y24" i="10" s="1"/>
  <c r="V23" i="8"/>
  <c r="Y160" i="10" s="1"/>
  <c r="AB23" i="8"/>
  <c r="Z160" i="10" s="1"/>
  <c r="AK23" i="8"/>
  <c r="Z40" i="10" s="1"/>
  <c r="S20" i="8"/>
  <c r="O23" i="8"/>
  <c r="Y16" i="10" s="1"/>
  <c r="P23" i="8"/>
  <c r="Y40" i="10" s="1"/>
  <c r="Y22" i="7"/>
  <c r="T24" i="10" s="1"/>
  <c r="L22" i="7"/>
  <c r="S128" i="10" s="1"/>
  <c r="H19" i="7"/>
  <c r="P23" i="7"/>
  <c r="T113" i="10" s="1"/>
  <c r="U19" i="7"/>
  <c r="U22" i="7" s="1"/>
  <c r="I20" i="7"/>
  <c r="S102" i="10" s="1"/>
  <c r="X20" i="7"/>
  <c r="T38" i="10" s="1"/>
  <c r="S19" i="7"/>
  <c r="D22" i="7"/>
  <c r="S24" i="10" s="1"/>
  <c r="I22" i="7"/>
  <c r="S104" i="10" s="1"/>
  <c r="O22" i="7"/>
  <c r="T104" i="10" s="1"/>
  <c r="X22" i="7"/>
  <c r="T40" i="10" s="1"/>
  <c r="F19" i="7"/>
  <c r="F22" i="7" s="1"/>
  <c r="B22" i="7"/>
  <c r="S16" i="10" s="1"/>
  <c r="C22" i="7"/>
  <c r="S40" i="10" s="1"/>
  <c r="S69" i="6"/>
  <c r="F69" i="6"/>
  <c r="H70" i="6"/>
  <c r="H69" i="6"/>
  <c r="U70" i="6"/>
  <c r="U69" i="6"/>
  <c r="P74" i="6"/>
  <c r="R74" i="6"/>
  <c r="S70" i="6"/>
  <c r="I71" i="6"/>
  <c r="X71" i="6"/>
  <c r="O86" i="10" s="1"/>
  <c r="F70" i="6"/>
  <c r="S14" i="5"/>
  <c r="G44" i="10" s="1"/>
  <c r="U14" i="5"/>
  <c r="J19" i="5"/>
  <c r="F14" i="5"/>
  <c r="H15" i="5"/>
  <c r="F45" i="10" s="1"/>
  <c r="H14" i="5"/>
  <c r="F44" i="10" s="1"/>
  <c r="Q19" i="5"/>
  <c r="U15" i="5"/>
  <c r="O19" i="5"/>
  <c r="P19" i="5"/>
  <c r="S16" i="5"/>
  <c r="G46" i="10" s="1"/>
  <c r="P18" i="5"/>
  <c r="Y18" i="5"/>
  <c r="G24" i="10" s="1"/>
  <c r="S15" i="5"/>
  <c r="G45" i="10" s="1"/>
  <c r="I16" i="5"/>
  <c r="O18" i="5"/>
  <c r="X18" i="5"/>
  <c r="G40" i="10" s="1"/>
  <c r="D18" i="5"/>
  <c r="F16" i="10" s="1"/>
  <c r="I18" i="5"/>
  <c r="J18" i="5"/>
  <c r="F15" i="5"/>
  <c r="Q18" i="5"/>
  <c r="V18" i="5"/>
  <c r="G32" i="10" s="1"/>
  <c r="B18" i="5"/>
  <c r="F24" i="10" s="1"/>
  <c r="K18" i="5"/>
  <c r="R18" i="5"/>
  <c r="W18" i="5"/>
  <c r="G16" i="10" s="1"/>
  <c r="C18" i="5"/>
  <c r="F32" i="10" s="1"/>
  <c r="L18" i="5"/>
  <c r="J17" i="4"/>
  <c r="D41" i="10" s="1"/>
  <c r="L17" i="4"/>
  <c r="D33" i="10" s="1"/>
  <c r="H13" i="4"/>
  <c r="E17" i="4"/>
  <c r="B17" i="4"/>
  <c r="F12" i="4"/>
  <c r="D44" i="10" s="1"/>
  <c r="Q17" i="4"/>
  <c r="E17" i="10" s="1"/>
  <c r="I14" i="4"/>
  <c r="D14" i="10" s="1"/>
  <c r="O16" i="4"/>
  <c r="E24" i="10" s="1"/>
  <c r="X16" i="4"/>
  <c r="D16" i="4"/>
  <c r="I16" i="4"/>
  <c r="D16" i="10" s="1"/>
  <c r="P16" i="4"/>
  <c r="E32" i="10" s="1"/>
  <c r="Y16" i="4"/>
  <c r="E16" i="4"/>
  <c r="J16" i="4"/>
  <c r="D40" i="10" s="1"/>
  <c r="F13" i="4"/>
  <c r="D45" i="10" s="1"/>
  <c r="Q16" i="4"/>
  <c r="E16" i="10" s="1"/>
  <c r="V16" i="4"/>
  <c r="B16" i="4"/>
  <c r="K16" i="4"/>
  <c r="D24" i="10" s="1"/>
  <c r="R16" i="4"/>
  <c r="E40" i="10" s="1"/>
  <c r="W16" i="4"/>
  <c r="C16" i="4"/>
  <c r="L16" i="4"/>
  <c r="D32" i="10" s="1"/>
  <c r="B17" i="3"/>
  <c r="V20" i="3"/>
  <c r="C25" i="10" s="1"/>
  <c r="Y20" i="3"/>
  <c r="C41" i="10" s="1"/>
  <c r="O19" i="3"/>
  <c r="V19" i="3"/>
  <c r="C24" i="10" s="1"/>
  <c r="P19" i="3"/>
  <c r="W19" i="3"/>
  <c r="C32" i="10" s="1"/>
  <c r="Q19" i="3"/>
  <c r="X19" i="3"/>
  <c r="C16" i="10" s="1"/>
  <c r="R19" i="3"/>
  <c r="Y19" i="3"/>
  <c r="C40" i="10" s="1"/>
  <c r="T96" i="10" l="1"/>
  <c r="J23" i="7"/>
  <c r="S113" i="10" s="1"/>
  <c r="S96" i="10"/>
  <c r="U32" i="17"/>
  <c r="U34" i="17"/>
  <c r="U36" i="17"/>
  <c r="Q23" i="7"/>
  <c r="T121" i="10" s="1"/>
  <c r="T118" i="10"/>
  <c r="U9" i="17"/>
  <c r="AC128" i="10"/>
  <c r="T36" i="17"/>
  <c r="T34" i="17"/>
  <c r="T32" i="17"/>
  <c r="AC184" i="10"/>
  <c r="T9" i="17"/>
  <c r="AC120" i="10"/>
  <c r="O23" i="7"/>
  <c r="T105" i="10" s="1"/>
  <c r="T97" i="10" s="1"/>
  <c r="T102" i="10"/>
  <c r="R7" i="12"/>
  <c r="L23" i="7"/>
  <c r="S129" i="10" s="1"/>
  <c r="S126" i="10"/>
  <c r="AC126" i="10" s="1"/>
  <c r="AC129" i="10" s="1"/>
  <c r="K23" i="7"/>
  <c r="S121" i="10" s="1"/>
  <c r="S118" i="10"/>
  <c r="AD10" i="17"/>
  <c r="AF10" i="17"/>
  <c r="AB10" i="17"/>
  <c r="AB11" i="17"/>
  <c r="AE10" i="17"/>
  <c r="AB36" i="17"/>
  <c r="AB32" i="17"/>
  <c r="AB34" i="17"/>
  <c r="S10" i="17"/>
  <c r="R34" i="17"/>
  <c r="X38" i="17"/>
  <c r="AC148" i="10"/>
  <c r="S9" i="12" s="1"/>
  <c r="Y10" i="17"/>
  <c r="O9" i="17"/>
  <c r="Z152" i="10"/>
  <c r="AC24" i="8"/>
  <c r="Z169" i="10" s="1"/>
  <c r="Z166" i="10"/>
  <c r="AC160" i="10"/>
  <c r="Y152" i="10"/>
  <c r="AB24" i="8"/>
  <c r="Z161" i="10" s="1"/>
  <c r="Z158" i="10"/>
  <c r="AC158" i="10" s="1"/>
  <c r="X24" i="17" s="1"/>
  <c r="W10" i="17"/>
  <c r="Y24" i="8"/>
  <c r="Y185" i="10" s="1"/>
  <c r="Y182" i="10"/>
  <c r="AE24" i="8"/>
  <c r="Z185" i="10" s="1"/>
  <c r="Z182" i="10"/>
  <c r="V10" i="17"/>
  <c r="AC168" i="10"/>
  <c r="W24" i="8"/>
  <c r="Y169" i="10" s="1"/>
  <c r="Y166" i="10"/>
  <c r="AD24" i="8"/>
  <c r="Z177" i="10" s="1"/>
  <c r="Z174" i="10"/>
  <c r="AC174" i="10" s="1"/>
  <c r="Z24" i="17" s="1"/>
  <c r="AC149" i="10"/>
  <c r="S37" i="12" s="1"/>
  <c r="C74" i="6"/>
  <c r="N73" i="10" s="1"/>
  <c r="N70" i="10"/>
  <c r="V74" i="6"/>
  <c r="O73" i="10" s="1"/>
  <c r="O70" i="10"/>
  <c r="B74" i="6"/>
  <c r="N65" i="10" s="1"/>
  <c r="N62" i="10"/>
  <c r="E74" i="6"/>
  <c r="N89" i="10" s="1"/>
  <c r="N86" i="10"/>
  <c r="N56" i="10"/>
  <c r="Y74" i="6"/>
  <c r="O65" i="10" s="1"/>
  <c r="O62" i="10"/>
  <c r="W74" i="6"/>
  <c r="O81" i="10" s="1"/>
  <c r="O78" i="10"/>
  <c r="O56" i="10"/>
  <c r="O17" i="4"/>
  <c r="E25" i="10" s="1"/>
  <c r="E9" i="10" s="1"/>
  <c r="E22" i="10"/>
  <c r="Q24" i="8"/>
  <c r="Y25" i="10" s="1"/>
  <c r="Y22" i="10"/>
  <c r="T45" i="10"/>
  <c r="X19" i="5"/>
  <c r="G41" i="10" s="1"/>
  <c r="G38" i="10"/>
  <c r="P24" i="8"/>
  <c r="Y41" i="10" s="1"/>
  <c r="Y38" i="10"/>
  <c r="J15" i="4"/>
  <c r="D39" i="10" s="1"/>
  <c r="D38" i="10"/>
  <c r="D18" i="3"/>
  <c r="B39" i="10" s="1"/>
  <c r="B38" i="10"/>
  <c r="E19" i="5"/>
  <c r="F41" i="10" s="1"/>
  <c r="F38" i="10"/>
  <c r="D19" i="5"/>
  <c r="F17" i="10" s="1"/>
  <c r="F14" i="10"/>
  <c r="AL24" i="8"/>
  <c r="Z25" i="10" s="1"/>
  <c r="Z22" i="10"/>
  <c r="W18" i="3"/>
  <c r="C31" i="10" s="1"/>
  <c r="C30" i="10"/>
  <c r="V18" i="3"/>
  <c r="C23" i="10" s="1"/>
  <c r="C22" i="10"/>
  <c r="P15" i="4"/>
  <c r="E31" i="10" s="1"/>
  <c r="E30" i="10"/>
  <c r="B18" i="3"/>
  <c r="B31" i="10" s="1"/>
  <c r="B30" i="10"/>
  <c r="Y8" i="10"/>
  <c r="C19" i="5"/>
  <c r="F33" i="10" s="1"/>
  <c r="F30" i="10"/>
  <c r="O24" i="8"/>
  <c r="Y17" i="10" s="1"/>
  <c r="Y14" i="10"/>
  <c r="AJ24" i="8"/>
  <c r="Z17" i="10" s="1"/>
  <c r="Z14" i="10"/>
  <c r="B19" i="5"/>
  <c r="F25" i="10" s="1"/>
  <c r="F22" i="10"/>
  <c r="R24" i="8"/>
  <c r="Y33" i="10" s="1"/>
  <c r="Y30" i="10"/>
  <c r="L15" i="4"/>
  <c r="D31" i="10" s="1"/>
  <c r="D30" i="10"/>
  <c r="K15" i="4"/>
  <c r="D23" i="10" s="1"/>
  <c r="D22" i="10"/>
  <c r="R15" i="4"/>
  <c r="E39" i="10" s="1"/>
  <c r="E38" i="10"/>
  <c r="Q15" i="4"/>
  <c r="E15" i="10" s="1"/>
  <c r="E14" i="10"/>
  <c r="Z8" i="10"/>
  <c r="S45" i="10"/>
  <c r="Y19" i="5"/>
  <c r="G25" i="10" s="1"/>
  <c r="G22" i="10"/>
  <c r="AI24" i="8"/>
  <c r="Z33" i="10" s="1"/>
  <c r="Z30" i="10"/>
  <c r="Y18" i="3"/>
  <c r="C39" i="10" s="1"/>
  <c r="C38" i="10"/>
  <c r="X18" i="3"/>
  <c r="C15" i="10" s="1"/>
  <c r="C14" i="10"/>
  <c r="C18" i="3"/>
  <c r="B15" i="10" s="1"/>
  <c r="B14" i="10"/>
  <c r="E18" i="3"/>
  <c r="B23" i="10" s="1"/>
  <c r="B22" i="10"/>
  <c r="W23" i="7"/>
  <c r="T17" i="10" s="1"/>
  <c r="T14" i="10"/>
  <c r="T6" i="10" s="1"/>
  <c r="T7" i="10" s="1"/>
  <c r="T8" i="10"/>
  <c r="S20" i="7"/>
  <c r="S21" i="7" s="1"/>
  <c r="T25" i="10"/>
  <c r="S8" i="10"/>
  <c r="S44" i="10"/>
  <c r="S6" i="10"/>
  <c r="S7" i="10" s="1"/>
  <c r="AC133" i="10"/>
  <c r="V38" i="17" s="1"/>
  <c r="V34" i="17" s="1"/>
  <c r="C17" i="4"/>
  <c r="B15" i="4"/>
  <c r="S19" i="3"/>
  <c r="C48" i="10" s="1"/>
  <c r="AF21" i="8"/>
  <c r="AC200" i="10"/>
  <c r="AC141" i="10"/>
  <c r="W38" i="17" s="1"/>
  <c r="W34" i="17" s="1"/>
  <c r="AC92" i="10"/>
  <c r="R9" i="12" s="1"/>
  <c r="X22" i="8"/>
  <c r="Y175" i="10" s="1"/>
  <c r="N10" i="17"/>
  <c r="AC104" i="10"/>
  <c r="AD22" i="8"/>
  <c r="Z175" i="10" s="1"/>
  <c r="P10" i="17"/>
  <c r="Y22" i="8"/>
  <c r="Y183" i="10" s="1"/>
  <c r="AC22" i="8"/>
  <c r="Z167" i="10" s="1"/>
  <c r="AC109" i="10"/>
  <c r="S38" i="17" s="1"/>
  <c r="W22" i="8"/>
  <c r="Y167" i="10" s="1"/>
  <c r="AE22" i="8"/>
  <c r="Z183" i="10" s="1"/>
  <c r="AB22" i="8"/>
  <c r="Z159" i="10" s="1"/>
  <c r="AC221" i="10"/>
  <c r="K21" i="7"/>
  <c r="S119" i="10" s="1"/>
  <c r="J21" i="7"/>
  <c r="S111" i="10" s="1"/>
  <c r="AC213" i="10"/>
  <c r="P21" i="7"/>
  <c r="T111" i="10" s="1"/>
  <c r="R21" i="7"/>
  <c r="T127" i="10" s="1"/>
  <c r="R23" i="7"/>
  <c r="T129" i="10" s="1"/>
  <c r="O21" i="7"/>
  <c r="T103" i="10" s="1"/>
  <c r="AC198" i="10"/>
  <c r="AB24" i="17" s="1"/>
  <c r="AC229" i="10"/>
  <c r="Q21" i="7"/>
  <c r="T119" i="10" s="1"/>
  <c r="L21" i="7"/>
  <c r="S127" i="10" s="1"/>
  <c r="Z10" i="17"/>
  <c r="X10" i="17"/>
  <c r="V23" i="7"/>
  <c r="T33" i="10" s="1"/>
  <c r="D23" i="7"/>
  <c r="S25" i="10" s="1"/>
  <c r="S71" i="6"/>
  <c r="S72" i="6" s="1"/>
  <c r="I52" i="10"/>
  <c r="I57" i="10"/>
  <c r="H53" i="10"/>
  <c r="I56" i="10"/>
  <c r="Q72" i="6"/>
  <c r="I53" i="10"/>
  <c r="K72" i="6"/>
  <c r="O72" i="6"/>
  <c r="AC61" i="10"/>
  <c r="H56" i="10"/>
  <c r="AC85" i="10"/>
  <c r="L72" i="6"/>
  <c r="AC69" i="10"/>
  <c r="K74" i="6"/>
  <c r="R72" i="6"/>
  <c r="H52" i="10"/>
  <c r="AC84" i="10"/>
  <c r="Q9" i="17" s="1"/>
  <c r="J72" i="6"/>
  <c r="P72" i="6"/>
  <c r="AC77" i="10"/>
  <c r="D17" i="5"/>
  <c r="F15" i="10" s="1"/>
  <c r="H4" i="10"/>
  <c r="AH21" i="8"/>
  <c r="AH22" i="8" s="1"/>
  <c r="M9" i="10"/>
  <c r="AL22" i="8"/>
  <c r="Z23" i="10" s="1"/>
  <c r="AI22" i="8"/>
  <c r="Z31" i="10" s="1"/>
  <c r="AJ22" i="8"/>
  <c r="Z15" i="10" s="1"/>
  <c r="R22" i="8"/>
  <c r="Y31" i="10" s="1"/>
  <c r="S21" i="8"/>
  <c r="S22" i="8" s="1"/>
  <c r="Q22" i="8"/>
  <c r="Y23" i="10" s="1"/>
  <c r="M5" i="10"/>
  <c r="O22" i="8"/>
  <c r="Y15" i="10" s="1"/>
  <c r="P22" i="8"/>
  <c r="Y39" i="10" s="1"/>
  <c r="M8" i="10"/>
  <c r="J8" i="10"/>
  <c r="F20" i="7"/>
  <c r="F21" i="7" s="1"/>
  <c r="J5" i="10"/>
  <c r="B21" i="7"/>
  <c r="S15" i="10" s="1"/>
  <c r="C21" i="7"/>
  <c r="S39" i="10" s="1"/>
  <c r="E21" i="7"/>
  <c r="S31" i="10" s="1"/>
  <c r="C23" i="7"/>
  <c r="S41" i="10" s="1"/>
  <c r="B23" i="7"/>
  <c r="S17" i="10" s="1"/>
  <c r="D21" i="7"/>
  <c r="S23" i="10" s="1"/>
  <c r="E23" i="7"/>
  <c r="S33" i="10" s="1"/>
  <c r="Y21" i="7"/>
  <c r="T23" i="10" s="1"/>
  <c r="W21" i="7"/>
  <c r="T15" i="10" s="1"/>
  <c r="K5" i="10"/>
  <c r="V21" i="7"/>
  <c r="T31" i="10" s="1"/>
  <c r="K4" i="10"/>
  <c r="K8" i="10"/>
  <c r="F71" i="6"/>
  <c r="F74" i="6" s="1"/>
  <c r="D74" i="6"/>
  <c r="N81" i="10" s="1"/>
  <c r="W72" i="6"/>
  <c r="O79" i="10" s="1"/>
  <c r="Y72" i="6"/>
  <c r="O63" i="10" s="1"/>
  <c r="I5" i="10"/>
  <c r="V72" i="6"/>
  <c r="O71" i="10" s="1"/>
  <c r="I4" i="10"/>
  <c r="I8" i="10"/>
  <c r="H5" i="10"/>
  <c r="D72" i="6"/>
  <c r="N79" i="10" s="1"/>
  <c r="H8" i="10"/>
  <c r="E72" i="6"/>
  <c r="N87" i="10" s="1"/>
  <c r="C72" i="6"/>
  <c r="N71" i="10" s="1"/>
  <c r="B72" i="6"/>
  <c r="N63" i="10" s="1"/>
  <c r="G8" i="10"/>
  <c r="F8" i="10"/>
  <c r="F16" i="5"/>
  <c r="F17" i="5" s="1"/>
  <c r="V17" i="5"/>
  <c r="G31" i="10" s="1"/>
  <c r="U16" i="5"/>
  <c r="U17" i="5" s="1"/>
  <c r="X17" i="5"/>
  <c r="G39" i="10" s="1"/>
  <c r="W17" i="5"/>
  <c r="G15" i="10" s="1"/>
  <c r="Y17" i="5"/>
  <c r="G23" i="10" s="1"/>
  <c r="V19" i="5"/>
  <c r="G33" i="10" s="1"/>
  <c r="G5" i="10"/>
  <c r="W19" i="5"/>
  <c r="G17" i="10" s="1"/>
  <c r="F4" i="10"/>
  <c r="C17" i="5"/>
  <c r="F31" i="10" s="1"/>
  <c r="F5" i="10"/>
  <c r="E17" i="5"/>
  <c r="F39" i="10" s="1"/>
  <c r="B17" i="5"/>
  <c r="F23" i="10" s="1"/>
  <c r="AC37" i="10"/>
  <c r="F14" i="4"/>
  <c r="W15" i="4"/>
  <c r="D15" i="4"/>
  <c r="D5" i="10"/>
  <c r="U16" i="4"/>
  <c r="E48" i="10" s="1"/>
  <c r="E8" i="10"/>
  <c r="E5" i="10"/>
  <c r="C15" i="4"/>
  <c r="V15" i="4"/>
  <c r="U14" i="4"/>
  <c r="Y15" i="4"/>
  <c r="S16" i="4"/>
  <c r="X15" i="4"/>
  <c r="E15" i="4"/>
  <c r="O15" i="4"/>
  <c r="E23" i="10" s="1"/>
  <c r="S14" i="4"/>
  <c r="S17" i="4" s="1"/>
  <c r="S17" i="3"/>
  <c r="U18" i="3"/>
  <c r="H17" i="3"/>
  <c r="D8" i="10"/>
  <c r="C8" i="10"/>
  <c r="R18" i="3"/>
  <c r="Q18" i="3"/>
  <c r="Q20" i="3"/>
  <c r="C4" i="10"/>
  <c r="P18" i="3"/>
  <c r="C5" i="10"/>
  <c r="D7" i="12" s="1"/>
  <c r="H7" i="17" s="1"/>
  <c r="I7" i="17" s="1"/>
  <c r="AC21" i="10"/>
  <c r="O18" i="3"/>
  <c r="K18" i="3"/>
  <c r="J18" i="3"/>
  <c r="L18" i="3"/>
  <c r="B5" i="10"/>
  <c r="AC13" i="10"/>
  <c r="B37" i="12" s="1"/>
  <c r="B38" i="17" s="1"/>
  <c r="I18" i="3"/>
  <c r="AC29" i="10"/>
  <c r="S23" i="8"/>
  <c r="H73" i="6"/>
  <c r="H14" i="4"/>
  <c r="I15" i="4"/>
  <c r="D15" i="10" s="1"/>
  <c r="U73" i="6"/>
  <c r="S17" i="5"/>
  <c r="G47" i="10" s="1"/>
  <c r="H71" i="6"/>
  <c r="I72" i="6"/>
  <c r="U21" i="8"/>
  <c r="Y46" i="10" s="1"/>
  <c r="V22" i="8"/>
  <c r="Y159" i="10" s="1"/>
  <c r="U71" i="6"/>
  <c r="U72" i="6" s="1"/>
  <c r="X72" i="6"/>
  <c r="O87" i="10" s="1"/>
  <c r="F73" i="6"/>
  <c r="X23" i="7"/>
  <c r="T41" i="10" s="1"/>
  <c r="X21" i="7"/>
  <c r="T39" i="10" s="1"/>
  <c r="H20" i="7"/>
  <c r="I21" i="7"/>
  <c r="S103" i="10" s="1"/>
  <c r="H16" i="5"/>
  <c r="F46" i="10" s="1"/>
  <c r="I17" i="5"/>
  <c r="S73" i="6"/>
  <c r="F17" i="3"/>
  <c r="AK24" i="8"/>
  <c r="Z41" i="10" s="1"/>
  <c r="AH23" i="8"/>
  <c r="U23" i="8"/>
  <c r="Y48" i="10" s="1"/>
  <c r="V24" i="8"/>
  <c r="Y161" i="10" s="1"/>
  <c r="AF23" i="8"/>
  <c r="Z48" i="10" s="1"/>
  <c r="H22" i="7"/>
  <c r="I23" i="7"/>
  <c r="S105" i="10" s="1"/>
  <c r="S97" i="10" s="1"/>
  <c r="U20" i="7"/>
  <c r="S22" i="7"/>
  <c r="S74" i="6"/>
  <c r="X74" i="6"/>
  <c r="I74" i="6"/>
  <c r="F16" i="4"/>
  <c r="D48" i="10" s="1"/>
  <c r="H18" i="5"/>
  <c r="F48" i="10" s="1"/>
  <c r="I19" i="5"/>
  <c r="U18" i="5"/>
  <c r="S19" i="5"/>
  <c r="G49" i="10" s="1"/>
  <c r="F18" i="5"/>
  <c r="S18" i="5"/>
  <c r="G48" i="10" s="1"/>
  <c r="I17" i="4"/>
  <c r="D17" i="10" s="1"/>
  <c r="D9" i="10" s="1"/>
  <c r="S94" i="10" l="1"/>
  <c r="S95" i="10" s="1"/>
  <c r="T37" i="17"/>
  <c r="T94" i="10"/>
  <c r="T95" i="10" s="1"/>
  <c r="AC118" i="10"/>
  <c r="U37" i="17"/>
  <c r="AC102" i="10"/>
  <c r="R24" i="17" s="1"/>
  <c r="U24" i="17"/>
  <c r="AC127" i="10"/>
  <c r="T11" i="17"/>
  <c r="T10" i="17"/>
  <c r="U11" i="17"/>
  <c r="U10" i="17"/>
  <c r="AC216" i="10"/>
  <c r="AD38" i="17"/>
  <c r="AC232" i="10"/>
  <c r="AF38" i="17"/>
  <c r="AB26" i="17"/>
  <c r="AB25" i="17"/>
  <c r="AC224" i="10"/>
  <c r="AE38" i="17"/>
  <c r="AB23" i="17"/>
  <c r="AB12" i="17" s="1"/>
  <c r="AB13" i="17" s="1"/>
  <c r="AB37" i="17"/>
  <c r="W11" i="17"/>
  <c r="W32" i="17"/>
  <c r="V32" i="17"/>
  <c r="V36" i="17"/>
  <c r="W36" i="17"/>
  <c r="S32" i="17"/>
  <c r="S34" i="17"/>
  <c r="S36" i="17"/>
  <c r="V11" i="17"/>
  <c r="S11" i="17"/>
  <c r="Q7" i="12"/>
  <c r="R36" i="17"/>
  <c r="AC62" i="10"/>
  <c r="N24" i="17" s="1"/>
  <c r="R10" i="12"/>
  <c r="R32" i="17"/>
  <c r="Y34" i="17"/>
  <c r="O38" i="17"/>
  <c r="O32" i="17" s="1"/>
  <c r="Q38" i="17"/>
  <c r="Q32" i="17" s="1"/>
  <c r="N38" i="17"/>
  <c r="N11" i="17" s="1"/>
  <c r="P38" i="17"/>
  <c r="P34" i="17" s="1"/>
  <c r="Y153" i="10"/>
  <c r="AC166" i="10"/>
  <c r="AC152" i="10"/>
  <c r="AC182" i="10"/>
  <c r="AC177" i="10"/>
  <c r="AC175" i="10"/>
  <c r="AC159" i="10"/>
  <c r="Y150" i="10"/>
  <c r="AC161" i="10"/>
  <c r="Z150" i="10"/>
  <c r="Z151" i="10" s="1"/>
  <c r="R11" i="17"/>
  <c r="R10" i="17"/>
  <c r="Z153" i="10"/>
  <c r="N54" i="10"/>
  <c r="N55" i="10" s="1"/>
  <c r="N57" i="10"/>
  <c r="I9" i="10"/>
  <c r="O89" i="10"/>
  <c r="O57" i="10" s="1"/>
  <c r="O54" i="10"/>
  <c r="O55" i="10" s="1"/>
  <c r="S23" i="7"/>
  <c r="F9" i="10"/>
  <c r="C7" i="12"/>
  <c r="E7" i="17" s="1"/>
  <c r="F7" i="17" s="1"/>
  <c r="E7" i="12"/>
  <c r="K7" i="17" s="1"/>
  <c r="F72" i="6"/>
  <c r="Y6" i="10"/>
  <c r="Y7" i="10" s="1"/>
  <c r="S46" i="10"/>
  <c r="Y9" i="10"/>
  <c r="H18" i="3"/>
  <c r="B47" i="10" s="1"/>
  <c r="B46" i="10"/>
  <c r="T49" i="10"/>
  <c r="T47" i="10"/>
  <c r="U15" i="4"/>
  <c r="E47" i="10" s="1"/>
  <c r="E46" i="10"/>
  <c r="B7" i="12"/>
  <c r="B7" i="17" s="1"/>
  <c r="C7" i="17" s="1"/>
  <c r="P7" i="12"/>
  <c r="F15" i="4"/>
  <c r="D47" i="10" s="1"/>
  <c r="D46" i="10"/>
  <c r="Z46" i="10"/>
  <c r="S18" i="3"/>
  <c r="C47" i="10" s="1"/>
  <c r="C46" i="10"/>
  <c r="S48" i="10"/>
  <c r="Z6" i="10"/>
  <c r="Z7" i="10" s="1"/>
  <c r="T46" i="10"/>
  <c r="Z9" i="10"/>
  <c r="T48" i="10"/>
  <c r="T9" i="10"/>
  <c r="S9" i="10"/>
  <c r="AC136" i="10"/>
  <c r="U19" i="5"/>
  <c r="F17" i="4"/>
  <c r="D49" i="10" s="1"/>
  <c r="AF24" i="8"/>
  <c r="Z49" i="10" s="1"/>
  <c r="AF22" i="8"/>
  <c r="AC112" i="10"/>
  <c r="AC144" i="10"/>
  <c r="AC110" i="10"/>
  <c r="S24" i="17" s="1"/>
  <c r="S23" i="17" s="1"/>
  <c r="S12" i="17" s="1"/>
  <c r="S13" i="17" s="1"/>
  <c r="AC142" i="10"/>
  <c r="W24" i="17" s="1"/>
  <c r="O10" i="17"/>
  <c r="U24" i="8"/>
  <c r="Y49" i="10" s="1"/>
  <c r="AC93" i="10"/>
  <c r="R37" i="12" s="1"/>
  <c r="R11" i="12" s="1"/>
  <c r="S24" i="8"/>
  <c r="AC134" i="10"/>
  <c r="V24" i="17" s="1"/>
  <c r="Q10" i="17"/>
  <c r="F23" i="7"/>
  <c r="AC214" i="10"/>
  <c r="AD24" i="17" s="1"/>
  <c r="AC222" i="10"/>
  <c r="AC201" i="10"/>
  <c r="AC199" i="10"/>
  <c r="AC230" i="10"/>
  <c r="AC45" i="10"/>
  <c r="AC37" i="12" s="1"/>
  <c r="AC31" i="12" s="1"/>
  <c r="Y36" i="17"/>
  <c r="Y32" i="17"/>
  <c r="C37" i="12"/>
  <c r="E37" i="12"/>
  <c r="D37" i="12"/>
  <c r="H38" i="17" s="1"/>
  <c r="B31" i="12"/>
  <c r="B32" i="17" s="1"/>
  <c r="B35" i="12"/>
  <c r="B36" i="17" s="1"/>
  <c r="B33" i="12"/>
  <c r="B34" i="17" s="1"/>
  <c r="AC80" i="10"/>
  <c r="X25" i="17"/>
  <c r="H54" i="10"/>
  <c r="H55" i="10" s="1"/>
  <c r="AA10" i="17"/>
  <c r="AC88" i="10"/>
  <c r="AC72" i="10"/>
  <c r="AC64" i="10"/>
  <c r="X36" i="17"/>
  <c r="X34" i="17"/>
  <c r="X32" i="17"/>
  <c r="Z36" i="17"/>
  <c r="Z34" i="17"/>
  <c r="Z32" i="17"/>
  <c r="X11" i="17"/>
  <c r="Z11" i="17"/>
  <c r="AA34" i="17"/>
  <c r="AA36" i="17"/>
  <c r="AA32" i="17"/>
  <c r="T10" i="12"/>
  <c r="AC53" i="10"/>
  <c r="Q37" i="12" s="1"/>
  <c r="AC52" i="10"/>
  <c r="Q9" i="12" s="1"/>
  <c r="AC86" i="10"/>
  <c r="AC70" i="10"/>
  <c r="O24" i="17" s="1"/>
  <c r="AC78" i="10"/>
  <c r="H57" i="10"/>
  <c r="I54" i="10"/>
  <c r="I55" i="10" s="1"/>
  <c r="AH24" i="8"/>
  <c r="K9" i="10"/>
  <c r="M6" i="10"/>
  <c r="M7" i="10" s="1"/>
  <c r="U22" i="8"/>
  <c r="Y47" i="10" s="1"/>
  <c r="J6" i="10"/>
  <c r="J7" i="10" s="1"/>
  <c r="H21" i="7"/>
  <c r="J9" i="10"/>
  <c r="K6" i="10"/>
  <c r="K7" i="10" s="1"/>
  <c r="H9" i="10"/>
  <c r="I6" i="10"/>
  <c r="I7" i="10" s="1"/>
  <c r="U74" i="6"/>
  <c r="H72" i="6"/>
  <c r="H6" i="10"/>
  <c r="H7" i="10" s="1"/>
  <c r="G6" i="10"/>
  <c r="G7" i="10" s="1"/>
  <c r="G9" i="10"/>
  <c r="F19" i="5"/>
  <c r="F6" i="10"/>
  <c r="F7" i="10" s="1"/>
  <c r="H17" i="5"/>
  <c r="F47" i="10" s="1"/>
  <c r="H19" i="5"/>
  <c r="F49" i="10" s="1"/>
  <c r="AC22" i="10"/>
  <c r="H15" i="4"/>
  <c r="U17" i="4"/>
  <c r="E49" i="10" s="1"/>
  <c r="E6" i="10"/>
  <c r="E7" i="10" s="1"/>
  <c r="D6" i="10"/>
  <c r="D7" i="10" s="1"/>
  <c r="S15" i="4"/>
  <c r="S20" i="3"/>
  <c r="C49" i="10" s="1"/>
  <c r="C9" i="10"/>
  <c r="AC30" i="10"/>
  <c r="C6" i="10"/>
  <c r="C7" i="10" s="1"/>
  <c r="AC38" i="10"/>
  <c r="AC14" i="10"/>
  <c r="B6" i="10"/>
  <c r="AC5" i="10"/>
  <c r="U23" i="7"/>
  <c r="U21" i="7"/>
  <c r="H74" i="6"/>
  <c r="H23" i="7"/>
  <c r="F18" i="3"/>
  <c r="L15" i="3"/>
  <c r="K15" i="3"/>
  <c r="J15" i="3"/>
  <c r="I15" i="3"/>
  <c r="C15" i="3"/>
  <c r="B12" i="10" s="1"/>
  <c r="AC12" i="10" s="1"/>
  <c r="D15" i="3"/>
  <c r="B36" i="10" s="1"/>
  <c r="E15" i="3"/>
  <c r="B20" i="10" s="1"/>
  <c r="B15" i="3"/>
  <c r="B28" i="10" s="1"/>
  <c r="F5" i="3"/>
  <c r="F6" i="3"/>
  <c r="F7" i="3"/>
  <c r="F8" i="3"/>
  <c r="F9" i="3"/>
  <c r="F10" i="3"/>
  <c r="F11" i="3"/>
  <c r="F4" i="3"/>
  <c r="H5" i="3"/>
  <c r="H6" i="3"/>
  <c r="H7" i="3"/>
  <c r="H8" i="3"/>
  <c r="H9" i="3"/>
  <c r="H10" i="3"/>
  <c r="H11" i="3"/>
  <c r="H4" i="3"/>
  <c r="AC105" i="10" l="1"/>
  <c r="AC103" i="10"/>
  <c r="U26" i="17"/>
  <c r="U25" i="17"/>
  <c r="U23" i="17"/>
  <c r="U12" i="17" s="1"/>
  <c r="U13" i="17" s="1"/>
  <c r="T24" i="17"/>
  <c r="AC119" i="10"/>
  <c r="AC121" i="10"/>
  <c r="W37" i="17"/>
  <c r="AD26" i="17"/>
  <c r="AD25" i="17"/>
  <c r="AC223" i="10"/>
  <c r="AE24" i="17"/>
  <c r="AE23" i="17" s="1"/>
  <c r="AE12" i="17" s="1"/>
  <c r="AE36" i="17"/>
  <c r="AE34" i="17"/>
  <c r="AE32" i="17"/>
  <c r="AE11" i="17"/>
  <c r="AF36" i="17"/>
  <c r="AF32" i="17"/>
  <c r="AF34" i="17"/>
  <c r="AF11" i="17"/>
  <c r="AC233" i="10"/>
  <c r="AF24" i="17"/>
  <c r="AF23" i="17" s="1"/>
  <c r="AF12" i="17" s="1"/>
  <c r="AD34" i="17"/>
  <c r="AD23" i="17"/>
  <c r="AD12" i="17" s="1"/>
  <c r="AD32" i="17"/>
  <c r="AD36" i="17"/>
  <c r="AD11" i="17"/>
  <c r="V37" i="17"/>
  <c r="S37" i="17"/>
  <c r="S25" i="17"/>
  <c r="S26" i="17"/>
  <c r="AC65" i="10"/>
  <c r="AC63" i="10"/>
  <c r="R37" i="17"/>
  <c r="O36" i="17"/>
  <c r="Q11" i="17"/>
  <c r="R31" i="12"/>
  <c r="R33" i="12"/>
  <c r="R35" i="12"/>
  <c r="Q34" i="17"/>
  <c r="Q36" i="17"/>
  <c r="O34" i="17"/>
  <c r="O11" i="17"/>
  <c r="E33" i="12"/>
  <c r="K34" i="17" s="1"/>
  <c r="K38" i="17"/>
  <c r="C31" i="12"/>
  <c r="E32" i="17" s="1"/>
  <c r="E38" i="17"/>
  <c r="AC167" i="10"/>
  <c r="Y24" i="17"/>
  <c r="AC169" i="10"/>
  <c r="AC185" i="10"/>
  <c r="AA24" i="17"/>
  <c r="P11" i="17"/>
  <c r="P32" i="17"/>
  <c r="N36" i="17"/>
  <c r="N32" i="17"/>
  <c r="N34" i="17"/>
  <c r="P36" i="17"/>
  <c r="AC79" i="10"/>
  <c r="P24" i="17"/>
  <c r="Y11" i="17"/>
  <c r="AC87" i="10"/>
  <c r="Q24" i="17"/>
  <c r="W23" i="17"/>
  <c r="W12" i="17" s="1"/>
  <c r="W13" i="17" s="1"/>
  <c r="AC183" i="10"/>
  <c r="Y151" i="10"/>
  <c r="AC150" i="10"/>
  <c r="V25" i="17"/>
  <c r="V26" i="17"/>
  <c r="V23" i="17"/>
  <c r="V12" i="17" s="1"/>
  <c r="V13" i="17" s="1"/>
  <c r="R25" i="17"/>
  <c r="R26" i="17"/>
  <c r="R23" i="17"/>
  <c r="R12" i="17" s="1"/>
  <c r="R13" i="17" s="1"/>
  <c r="G7" i="12"/>
  <c r="I7" i="12" s="1"/>
  <c r="AC20" i="10"/>
  <c r="C9" i="12" s="1"/>
  <c r="AC28" i="10"/>
  <c r="D9" i="12" s="1"/>
  <c r="AC94" i="10"/>
  <c r="R23" i="12" s="1"/>
  <c r="R22" i="12" s="1"/>
  <c r="R12" i="12" s="1"/>
  <c r="S49" i="10"/>
  <c r="Z47" i="10"/>
  <c r="S47" i="10"/>
  <c r="AC36" i="10"/>
  <c r="G7" i="3"/>
  <c r="F1" i="3"/>
  <c r="AC43" i="12"/>
  <c r="N26" i="17"/>
  <c r="N25" i="17"/>
  <c r="N23" i="17"/>
  <c r="N12" i="17" s="1"/>
  <c r="N13" i="17" s="1"/>
  <c r="AC143" i="10"/>
  <c r="AC145" i="10"/>
  <c r="AC137" i="10"/>
  <c r="AC135" i="10"/>
  <c r="AC111" i="10"/>
  <c r="AC113" i="10"/>
  <c r="AC225" i="10"/>
  <c r="AC215" i="10"/>
  <c r="AC217" i="10"/>
  <c r="AC231" i="10"/>
  <c r="AC35" i="12"/>
  <c r="AC33" i="12"/>
  <c r="C33" i="12"/>
  <c r="E34" i="17" s="1"/>
  <c r="Y37" i="17"/>
  <c r="AC71" i="10"/>
  <c r="C35" i="12"/>
  <c r="E36" i="17" s="1"/>
  <c r="E31" i="12"/>
  <c r="K32" i="17" s="1"/>
  <c r="E35" i="12"/>
  <c r="K36" i="17" s="1"/>
  <c r="B36" i="12"/>
  <c r="B37" i="17" s="1"/>
  <c r="AC31" i="10"/>
  <c r="D23" i="12"/>
  <c r="AC15" i="10"/>
  <c r="B23" i="12"/>
  <c r="AC23" i="10"/>
  <c r="C23" i="12"/>
  <c r="E24" i="17" s="1"/>
  <c r="AC39" i="10"/>
  <c r="E23" i="12"/>
  <c r="K24" i="17" s="1"/>
  <c r="D33" i="12"/>
  <c r="H34" i="17" s="1"/>
  <c r="D35" i="12"/>
  <c r="H36" i="17" s="1"/>
  <c r="D31" i="12"/>
  <c r="H32" i="17" s="1"/>
  <c r="AC73" i="10"/>
  <c r="X26" i="17"/>
  <c r="X23" i="17"/>
  <c r="X12" i="17" s="1"/>
  <c r="X13" i="17" s="1"/>
  <c r="AC89" i="10"/>
  <c r="AC81" i="10"/>
  <c r="AA11" i="17"/>
  <c r="S11" i="12"/>
  <c r="AC56" i="10"/>
  <c r="Z37" i="17"/>
  <c r="AA37" i="17"/>
  <c r="X37" i="17"/>
  <c r="T31" i="12"/>
  <c r="T33" i="12"/>
  <c r="T35" i="12"/>
  <c r="T11" i="12"/>
  <c r="S35" i="12"/>
  <c r="S31" i="12"/>
  <c r="S33" i="12"/>
  <c r="AC54" i="10"/>
  <c r="AC46" i="10"/>
  <c r="G9" i="3"/>
  <c r="G5" i="3"/>
  <c r="G10" i="3"/>
  <c r="G11" i="3"/>
  <c r="G8" i="3"/>
  <c r="G6" i="3"/>
  <c r="B9" i="12"/>
  <c r="B4" i="10"/>
  <c r="AC4" i="10" s="1"/>
  <c r="H1" i="3"/>
  <c r="G4" i="3"/>
  <c r="AC6" i="10"/>
  <c r="AC7" i="10" s="1"/>
  <c r="B7" i="10"/>
  <c r="P37" i="12"/>
  <c r="H15" i="3"/>
  <c r="B44" i="10" s="1"/>
  <c r="F15" i="3"/>
  <c r="I19" i="3"/>
  <c r="I20" i="3"/>
  <c r="E20" i="3"/>
  <c r="B25" i="10" s="1"/>
  <c r="E19" i="3"/>
  <c r="B24" i="10" s="1"/>
  <c r="J20" i="3"/>
  <c r="J19" i="3"/>
  <c r="B19" i="3"/>
  <c r="B32" i="10" s="1"/>
  <c r="B20" i="3"/>
  <c r="B33" i="10" s="1"/>
  <c r="D20" i="3"/>
  <c r="B41" i="10" s="1"/>
  <c r="D19" i="3"/>
  <c r="B40" i="10" s="1"/>
  <c r="K19" i="3"/>
  <c r="K20" i="3"/>
  <c r="C19" i="3"/>
  <c r="B16" i="10" s="1"/>
  <c r="C20" i="3"/>
  <c r="B17" i="10" s="1"/>
  <c r="L19" i="3"/>
  <c r="B9" i="17" l="1"/>
  <c r="T26" i="17"/>
  <c r="T25" i="17"/>
  <c r="T23" i="17"/>
  <c r="T12" i="17" s="1"/>
  <c r="T13" i="17" s="1"/>
  <c r="AF13" i="17"/>
  <c r="AE13" i="17"/>
  <c r="AE37" i="17"/>
  <c r="AF37" i="17"/>
  <c r="AE26" i="17"/>
  <c r="AE25" i="17"/>
  <c r="AD37" i="17"/>
  <c r="AF25" i="17"/>
  <c r="AF26" i="17"/>
  <c r="AD13" i="17"/>
  <c r="O37" i="17"/>
  <c r="Q37" i="17"/>
  <c r="P37" i="17"/>
  <c r="R24" i="12"/>
  <c r="R25" i="12"/>
  <c r="R36" i="12"/>
  <c r="W26" i="17"/>
  <c r="D11" i="12"/>
  <c r="H11" i="17" s="1"/>
  <c r="H9" i="17"/>
  <c r="C10" i="12"/>
  <c r="E10" i="17" s="1"/>
  <c r="E9" i="17"/>
  <c r="B24" i="12"/>
  <c r="B25" i="17" s="1"/>
  <c r="C25" i="17" s="1"/>
  <c r="B24" i="17"/>
  <c r="D22" i="12"/>
  <c r="H23" i="17" s="1"/>
  <c r="H24" i="17"/>
  <c r="W25" i="17"/>
  <c r="N37" i="17"/>
  <c r="B8" i="10"/>
  <c r="AC151" i="10"/>
  <c r="S23" i="12"/>
  <c r="AC153" i="10"/>
  <c r="D10" i="12"/>
  <c r="H10" i="17" s="1"/>
  <c r="I10" i="17" s="1"/>
  <c r="AC32" i="10"/>
  <c r="AC33" i="10"/>
  <c r="B9" i="10"/>
  <c r="AE43" i="12"/>
  <c r="L7" i="12"/>
  <c r="K7" i="12"/>
  <c r="J7" i="12"/>
  <c r="AC24" i="10"/>
  <c r="AC25" i="10"/>
  <c r="AC55" i="10"/>
  <c r="Q23" i="12"/>
  <c r="Q22" i="12" s="1"/>
  <c r="T22" i="12"/>
  <c r="T12" i="12" s="1"/>
  <c r="AC191" i="10"/>
  <c r="AC41" i="10"/>
  <c r="E9" i="12"/>
  <c r="K9" i="17" s="1"/>
  <c r="AC40" i="10"/>
  <c r="O26" i="17"/>
  <c r="O25" i="17"/>
  <c r="O23" i="17"/>
  <c r="O12" i="17" s="1"/>
  <c r="O13" i="17" s="1"/>
  <c r="Q25" i="17"/>
  <c r="Q26" i="17"/>
  <c r="Q23" i="17"/>
  <c r="Q12" i="17" s="1"/>
  <c r="Q13" i="17" s="1"/>
  <c r="P26" i="17"/>
  <c r="P25" i="17"/>
  <c r="P23" i="17"/>
  <c r="P12" i="17" s="1"/>
  <c r="P13" i="17" s="1"/>
  <c r="C36" i="12"/>
  <c r="E37" i="17" s="1"/>
  <c r="F37" i="17" s="1"/>
  <c r="AC36" i="12"/>
  <c r="C11" i="12"/>
  <c r="E11" i="17" s="1"/>
  <c r="F11" i="17" s="1"/>
  <c r="Y26" i="17"/>
  <c r="Y25" i="17"/>
  <c r="Y23" i="17"/>
  <c r="Y12" i="17" s="1"/>
  <c r="Y13" i="17" s="1"/>
  <c r="E36" i="12"/>
  <c r="K37" i="17" s="1"/>
  <c r="D36" i="12"/>
  <c r="H37" i="17" s="1"/>
  <c r="I37" i="17" s="1"/>
  <c r="C25" i="12"/>
  <c r="E26" i="17" s="1"/>
  <c r="C24" i="12"/>
  <c r="E25" i="17" s="1"/>
  <c r="F25" i="17" s="1"/>
  <c r="C22" i="12"/>
  <c r="B22" i="12"/>
  <c r="B25" i="12"/>
  <c r="B26" i="17" s="1"/>
  <c r="E24" i="12"/>
  <c r="K25" i="17" s="1"/>
  <c r="E25" i="12"/>
  <c r="K26" i="17" s="1"/>
  <c r="E22" i="12"/>
  <c r="K23" i="17" s="1"/>
  <c r="B10" i="12"/>
  <c r="B10" i="17" s="1"/>
  <c r="B11" i="12"/>
  <c r="B11" i="17" s="1"/>
  <c r="D25" i="12"/>
  <c r="H26" i="17" s="1"/>
  <c r="D24" i="12"/>
  <c r="H25" i="17" s="1"/>
  <c r="I25" i="17" s="1"/>
  <c r="AC23" i="12"/>
  <c r="AC22" i="12" s="1"/>
  <c r="AC47" i="10"/>
  <c r="S10" i="12"/>
  <c r="AC57" i="10"/>
  <c r="AC16" i="10"/>
  <c r="AC17" i="10"/>
  <c r="AC9" i="10"/>
  <c r="AC8" i="10"/>
  <c r="C37" i="17"/>
  <c r="Z25" i="17"/>
  <c r="Z26" i="17"/>
  <c r="Z23" i="17"/>
  <c r="Z12" i="17" s="1"/>
  <c r="Z13" i="17" s="1"/>
  <c r="AA25" i="17"/>
  <c r="AA26" i="17"/>
  <c r="AA23" i="17"/>
  <c r="AA12" i="17" s="1"/>
  <c r="AA13" i="17" s="1"/>
  <c r="S36" i="12"/>
  <c r="T36" i="12"/>
  <c r="P23" i="12"/>
  <c r="P25" i="12" s="1"/>
  <c r="P35" i="12"/>
  <c r="P31" i="12"/>
  <c r="P33" i="12"/>
  <c r="F19" i="3"/>
  <c r="F20" i="3"/>
  <c r="H20" i="3"/>
  <c r="B49" i="10" s="1"/>
  <c r="H19" i="3"/>
  <c r="B48" i="10" s="1"/>
  <c r="U15" i="3"/>
  <c r="L25" i="17" l="1"/>
  <c r="BS25" i="17"/>
  <c r="BR25" i="17"/>
  <c r="P9" i="12"/>
  <c r="L37" i="17"/>
  <c r="BS37" i="17"/>
  <c r="BR37" i="17"/>
  <c r="DU37" i="17" s="1"/>
  <c r="B12" i="12"/>
  <c r="B12" i="17" s="1"/>
  <c r="B13" i="17" s="1"/>
  <c r="B23" i="17"/>
  <c r="C12" i="12"/>
  <c r="E12" i="17" s="1"/>
  <c r="E13" i="17" s="1"/>
  <c r="E23" i="17"/>
  <c r="D12" i="12"/>
  <c r="H12" i="17" s="1"/>
  <c r="H13" i="17" s="1"/>
  <c r="I11" i="17"/>
  <c r="AH43" i="12"/>
  <c r="AI43" i="12"/>
  <c r="AK43" i="12"/>
  <c r="AJ43" i="12"/>
  <c r="AT43" i="12"/>
  <c r="AR43" i="12"/>
  <c r="AS43" i="12"/>
  <c r="AQ43" i="12"/>
  <c r="AP43" i="12"/>
  <c r="AO43" i="12"/>
  <c r="AN43" i="12"/>
  <c r="AM43" i="12"/>
  <c r="AL43" i="12"/>
  <c r="AG43" i="12"/>
  <c r="F10" i="17"/>
  <c r="T24" i="12"/>
  <c r="T25" i="12"/>
  <c r="E10" i="12"/>
  <c r="P10" i="12"/>
  <c r="E12" i="12"/>
  <c r="K12" i="17" s="1"/>
  <c r="L12" i="17" s="1"/>
  <c r="E11" i="12"/>
  <c r="G36" i="12"/>
  <c r="I36" i="12" s="1"/>
  <c r="G24" i="12"/>
  <c r="K24" i="12" s="1"/>
  <c r="AC24" i="12"/>
  <c r="AC25" i="12"/>
  <c r="C10" i="17"/>
  <c r="S25" i="12"/>
  <c r="S24" i="12"/>
  <c r="S22" i="12"/>
  <c r="S12" i="12" s="1"/>
  <c r="U19" i="3"/>
  <c r="P24" i="12"/>
  <c r="P22" i="12"/>
  <c r="P36" i="12"/>
  <c r="U20" i="3"/>
  <c r="H12" i="4"/>
  <c r="DY37" i="17" l="1"/>
  <c r="DW37" i="17"/>
  <c r="EA37" i="17"/>
  <c r="DZ37" i="17"/>
  <c r="DR37" i="17"/>
  <c r="DV37" i="17"/>
  <c r="DS37" i="17"/>
  <c r="DT37" i="17"/>
  <c r="DX37" i="17"/>
  <c r="DY25" i="17"/>
  <c r="DX25" i="17"/>
  <c r="DZ25" i="17"/>
  <c r="DV25" i="17"/>
  <c r="DW25" i="17"/>
  <c r="EA25" i="17"/>
  <c r="DT25" i="17"/>
  <c r="DU25" i="17"/>
  <c r="DR25" i="17"/>
  <c r="DS25" i="17"/>
  <c r="DO37" i="17"/>
  <c r="DN37" i="17"/>
  <c r="DM37" i="17"/>
  <c r="DL37" i="17"/>
  <c r="DK37" i="17"/>
  <c r="DQ37" i="17"/>
  <c r="DJ37" i="17"/>
  <c r="DP37" i="17"/>
  <c r="DO25" i="17"/>
  <c r="DN25" i="17"/>
  <c r="DM25" i="17"/>
  <c r="DL25" i="17"/>
  <c r="DK25" i="17"/>
  <c r="DQ25" i="17"/>
  <c r="DP25" i="17"/>
  <c r="DJ25" i="17"/>
  <c r="DI25" i="17"/>
  <c r="DA25" i="17"/>
  <c r="CS25" i="17"/>
  <c r="CK25" i="17"/>
  <c r="CC25" i="17"/>
  <c r="DH25" i="17"/>
  <c r="CZ25" i="17"/>
  <c r="CR25" i="17"/>
  <c r="CJ25" i="17"/>
  <c r="CB25" i="17"/>
  <c r="DG25" i="17"/>
  <c r="CY25" i="17"/>
  <c r="CQ25" i="17"/>
  <c r="CI25" i="17"/>
  <c r="CA25" i="17"/>
  <c r="DF25" i="17"/>
  <c r="CX25" i="17"/>
  <c r="CP25" i="17"/>
  <c r="CH25" i="17"/>
  <c r="BZ25" i="17"/>
  <c r="DE25" i="17"/>
  <c r="CW25" i="17"/>
  <c r="CO25" i="17"/>
  <c r="CG25" i="17"/>
  <c r="DD25" i="17"/>
  <c r="CV25" i="17"/>
  <c r="CN25" i="17"/>
  <c r="CF25" i="17"/>
  <c r="CT25" i="17"/>
  <c r="CL25" i="17"/>
  <c r="DC25" i="17"/>
  <c r="CU25" i="17"/>
  <c r="CM25" i="17"/>
  <c r="CE25" i="17"/>
  <c r="DB25" i="17"/>
  <c r="CD25" i="17"/>
  <c r="DD37" i="17"/>
  <c r="CV37" i="17"/>
  <c r="CN37" i="17"/>
  <c r="CF37" i="17"/>
  <c r="DC37" i="17"/>
  <c r="CU37" i="17"/>
  <c r="CM37" i="17"/>
  <c r="CE37" i="17"/>
  <c r="DB37" i="17"/>
  <c r="CT37" i="17"/>
  <c r="CL37" i="17"/>
  <c r="CD37" i="17"/>
  <c r="DI37" i="17"/>
  <c r="DA37" i="17"/>
  <c r="CS37" i="17"/>
  <c r="CK37" i="17"/>
  <c r="CC37" i="17"/>
  <c r="CG37" i="17"/>
  <c r="DH37" i="17"/>
  <c r="CZ37" i="17"/>
  <c r="CR37" i="17"/>
  <c r="CJ37" i="17"/>
  <c r="CB37" i="17"/>
  <c r="CW37" i="17"/>
  <c r="DG37" i="17"/>
  <c r="CY37" i="17"/>
  <c r="CQ37" i="17"/>
  <c r="CA37" i="17"/>
  <c r="CO37" i="17"/>
  <c r="DF37" i="17"/>
  <c r="CX37" i="17"/>
  <c r="CP37" i="17"/>
  <c r="CH37" i="17"/>
  <c r="BZ37" i="17"/>
  <c r="DE37" i="17"/>
  <c r="CI37" i="17"/>
  <c r="F12" i="17"/>
  <c r="I12" i="17"/>
  <c r="G11" i="12"/>
  <c r="I11" i="12" s="1"/>
  <c r="K11" i="17"/>
  <c r="G10" i="12"/>
  <c r="I10" i="12" s="1"/>
  <c r="K10" i="17"/>
  <c r="L10" i="17" s="1"/>
  <c r="P11" i="12"/>
  <c r="P12" i="12"/>
  <c r="C12" i="17"/>
  <c r="BV37" i="17"/>
  <c r="C11" i="17"/>
  <c r="K36" i="12"/>
  <c r="J36" i="12"/>
  <c r="L36" i="12"/>
  <c r="BV25" i="17"/>
  <c r="L24" i="12"/>
  <c r="J24" i="12"/>
  <c r="I24" i="12"/>
  <c r="BY25" i="17"/>
  <c r="BY37" i="17"/>
  <c r="BW37" i="17"/>
  <c r="BU37" i="17"/>
  <c r="BX37" i="17"/>
  <c r="BW25" i="17"/>
  <c r="BX25" i="17"/>
  <c r="BU25" i="17"/>
  <c r="H17" i="4"/>
  <c r="H16" i="4"/>
  <c r="BS11" i="17" l="1"/>
  <c r="BR11" i="17"/>
  <c r="L11" i="17"/>
  <c r="K13" i="17"/>
  <c r="K11" i="12"/>
  <c r="L11" i="12"/>
  <c r="J10" i="12"/>
  <c r="L10" i="12"/>
  <c r="J11" i="12"/>
  <c r="K10" i="12"/>
  <c r="I45" i="12"/>
  <c r="B45" i="12" s="1"/>
  <c r="DV11" i="17" l="1"/>
  <c r="DV46" i="17" s="1"/>
  <c r="BK46" i="17" s="1"/>
  <c r="DR11" i="17"/>
  <c r="DR46" i="17" s="1"/>
  <c r="BG46" i="17" s="1"/>
  <c r="DZ11" i="17"/>
  <c r="DZ46" i="17" s="1"/>
  <c r="BO46" i="17" s="1"/>
  <c r="DS11" i="17"/>
  <c r="DS46" i="17" s="1"/>
  <c r="BH46" i="17" s="1"/>
  <c r="DU11" i="17"/>
  <c r="DU46" i="17" s="1"/>
  <c r="BJ46" i="17" s="1"/>
  <c r="EA11" i="17"/>
  <c r="EA46" i="17" s="1"/>
  <c r="BP46" i="17" s="1"/>
  <c r="DY11" i="17"/>
  <c r="DY46" i="17" s="1"/>
  <c r="BN46" i="17" s="1"/>
  <c r="DW11" i="17"/>
  <c r="DW46" i="17" s="1"/>
  <c r="BL46" i="17" s="1"/>
  <c r="DX11" i="17"/>
  <c r="DX46" i="17" s="1"/>
  <c r="BM46" i="17" s="1"/>
  <c r="DT11" i="17"/>
  <c r="DT46" i="17" s="1"/>
  <c r="BI46" i="17" s="1"/>
  <c r="BU11" i="17"/>
  <c r="BU46" i="17" s="1"/>
  <c r="B46" i="17" s="1"/>
  <c r="DA11" i="17"/>
  <c r="DA46" i="17" s="1"/>
  <c r="AP46" i="17" s="1"/>
  <c r="DO11" i="17"/>
  <c r="DN11" i="17"/>
  <c r="DN46" i="17" s="1"/>
  <c r="BC46" i="17" s="1"/>
  <c r="DM11" i="17"/>
  <c r="DM46" i="17" s="1"/>
  <c r="BB46" i="17" s="1"/>
  <c r="DL11" i="17"/>
  <c r="DL46" i="17" s="1"/>
  <c r="BA46" i="17" s="1"/>
  <c r="DK11" i="17"/>
  <c r="DQ11" i="17"/>
  <c r="DP11" i="17"/>
  <c r="DJ11" i="17"/>
  <c r="DJ46" i="17" s="1"/>
  <c r="AY46" i="17" s="1"/>
  <c r="BV11" i="17"/>
  <c r="BV46" i="17" s="1"/>
  <c r="E46" i="17" s="1"/>
  <c r="CM11" i="17"/>
  <c r="CM46" i="17" s="1"/>
  <c r="AB46" i="17" s="1"/>
  <c r="CU11" i="17"/>
  <c r="CU46" i="17" s="1"/>
  <c r="AJ46" i="17" s="1"/>
  <c r="CX11" i="17"/>
  <c r="DB11" i="17"/>
  <c r="DI11" i="17"/>
  <c r="DI46" i="17" s="1"/>
  <c r="AX46" i="17" s="1"/>
  <c r="CJ11" i="17"/>
  <c r="CJ46" i="17" s="1"/>
  <c r="Y46" i="17" s="1"/>
  <c r="DC11" i="17"/>
  <c r="CO11" i="17"/>
  <c r="CA11" i="17"/>
  <c r="CA46" i="17" s="1"/>
  <c r="P46" i="17" s="1"/>
  <c r="CZ11" i="17"/>
  <c r="CZ46" i="17" s="1"/>
  <c r="AO46" i="17" s="1"/>
  <c r="CI11" i="17"/>
  <c r="CI46" i="17" s="1"/>
  <c r="X46" i="17" s="1"/>
  <c r="CR11" i="17"/>
  <c r="CR46" i="17" s="1"/>
  <c r="AG46" i="17" s="1"/>
  <c r="DE11" i="17"/>
  <c r="DE46" i="17" s="1"/>
  <c r="AT46" i="17" s="1"/>
  <c r="CQ11" i="17"/>
  <c r="CQ46" i="17" s="1"/>
  <c r="AF46" i="17" s="1"/>
  <c r="CC11" i="17"/>
  <c r="CC46" i="17" s="1"/>
  <c r="R46" i="17" s="1"/>
  <c r="CG11" i="17"/>
  <c r="CG46" i="17" s="1"/>
  <c r="V46" i="17" s="1"/>
  <c r="DH11" i="17"/>
  <c r="DH46" i="17" s="1"/>
  <c r="AW46" i="17" s="1"/>
  <c r="CL11" i="17"/>
  <c r="CV11" i="17"/>
  <c r="BZ11" i="17"/>
  <c r="BZ46" i="17" s="1"/>
  <c r="O46" i="17" s="1"/>
  <c r="CY11" i="17"/>
  <c r="CY46" i="17" s="1"/>
  <c r="AN46" i="17" s="1"/>
  <c r="CK11" i="17"/>
  <c r="CK46" i="17" s="1"/>
  <c r="Z46" i="17" s="1"/>
  <c r="DF11" i="17"/>
  <c r="DF46" i="17" s="1"/>
  <c r="AU46" i="17" s="1"/>
  <c r="CW11" i="17"/>
  <c r="CW46" i="17" s="1"/>
  <c r="AL46" i="17" s="1"/>
  <c r="CN11" i="17"/>
  <c r="BW11" i="17"/>
  <c r="BW46" i="17" s="1"/>
  <c r="H46" i="17" s="1"/>
  <c r="CT11" i="17"/>
  <c r="CT46" i="17" s="1"/>
  <c r="AI46" i="17" s="1"/>
  <c r="DD11" i="17"/>
  <c r="CH11" i="17"/>
  <c r="CH46" i="17" s="1"/>
  <c r="W46" i="17" s="1"/>
  <c r="DG11" i="17"/>
  <c r="CS11" i="17"/>
  <c r="CF11" i="17"/>
  <c r="CF46" i="17" s="1"/>
  <c r="U46" i="17" s="1"/>
  <c r="BX11" i="17"/>
  <c r="BX46" i="17" s="1"/>
  <c r="K46" i="17" s="1"/>
  <c r="BY11" i="17"/>
  <c r="BY46" i="17" s="1"/>
  <c r="N46" i="17" s="1"/>
  <c r="CE11" i="17"/>
  <c r="CE46" i="17" s="1"/>
  <c r="T46" i="17" s="1"/>
  <c r="CD11" i="17"/>
  <c r="CD46" i="17" s="1"/>
  <c r="S46" i="17" s="1"/>
  <c r="CP11" i="17"/>
  <c r="CP46" i="17" s="1"/>
  <c r="AE46" i="17" s="1"/>
  <c r="CB11" i="17"/>
  <c r="CB46" i="17" s="1"/>
  <c r="Q46" i="17" s="1"/>
  <c r="K45" i="12"/>
  <c r="D45" i="12" s="1"/>
  <c r="L45" i="12"/>
  <c r="E45" i="12" s="1"/>
  <c r="J45" i="12"/>
  <c r="C45" i="12" s="1"/>
  <c r="G5" i="8"/>
  <c r="F3" i="8"/>
  <c r="G79" i="6"/>
  <c r="F93" i="6"/>
  <c r="DO46" i="17" l="1"/>
  <c r="BD46" i="17" s="1"/>
  <c r="CS46" i="17"/>
  <c r="AH46" i="17" s="1"/>
  <c r="DC46" i="17"/>
  <c r="AR46" i="17" s="1"/>
  <c r="DG46" i="17"/>
  <c r="AV46" i="17" s="1"/>
  <c r="DP46" i="17"/>
  <c r="BE46" i="17" s="1"/>
  <c r="DQ46" i="17"/>
  <c r="BF46" i="17" s="1"/>
  <c r="DD46" i="17"/>
  <c r="AS46" i="17" s="1"/>
  <c r="DB46" i="17"/>
  <c r="AQ46" i="17" s="1"/>
  <c r="DK46" i="17"/>
  <c r="AZ46" i="17" s="1"/>
  <c r="CV46" i="17"/>
  <c r="AK46" i="17" s="1"/>
  <c r="CX46" i="17"/>
  <c r="AM46" i="17" s="1"/>
  <c r="CL46" i="17"/>
  <c r="AA46" i="17" s="1"/>
  <c r="CN46" i="17"/>
  <c r="AC46" i="17" s="1"/>
  <c r="CO46" i="17"/>
  <c r="AD46" i="17" s="1"/>
  <c r="F94" i="6"/>
  <c r="AE7" i="12" l="1"/>
  <c r="AK7" i="12" l="1"/>
  <c r="AS7" i="12"/>
  <c r="AL7" i="12"/>
  <c r="AT7" i="12"/>
  <c r="AP7" i="12"/>
  <c r="AM7" i="12"/>
  <c r="AN7" i="12"/>
  <c r="AH7" i="12"/>
  <c r="AO7" i="12"/>
  <c r="AR7" i="12"/>
  <c r="AI7" i="12"/>
  <c r="AQ7" i="12"/>
  <c r="AJ7" i="12"/>
  <c r="AG7" i="12"/>
  <c r="Q10" i="12" l="1"/>
  <c r="AC96" i="10" l="1"/>
  <c r="Q31" i="12"/>
  <c r="Q11" i="12" l="1"/>
  <c r="Q33" i="12"/>
  <c r="Q35" i="12"/>
  <c r="Q36" i="12" l="1"/>
  <c r="AE36" i="12" s="1"/>
  <c r="AL36" i="12" l="1"/>
  <c r="AT36" i="12"/>
  <c r="AM36" i="12"/>
  <c r="AN36" i="12"/>
  <c r="AI36" i="12"/>
  <c r="AO36" i="12"/>
  <c r="AQ36" i="12"/>
  <c r="AH36" i="12"/>
  <c r="AP36" i="12"/>
  <c r="AJ36" i="12"/>
  <c r="AR36" i="12"/>
  <c r="AK36" i="12"/>
  <c r="AS36" i="12"/>
  <c r="AG36" i="12"/>
  <c r="AC97" i="10"/>
  <c r="AC95" i="10"/>
  <c r="Q24" i="12" l="1"/>
  <c r="AE24" i="12" s="1"/>
  <c r="Q12" i="12"/>
  <c r="Q25" i="12"/>
  <c r="AO24" i="12" l="1"/>
  <c r="AH24" i="12"/>
  <c r="AP24" i="12"/>
  <c r="AL24" i="12"/>
  <c r="AI24" i="12"/>
  <c r="AQ24" i="12"/>
  <c r="AJ24" i="12"/>
  <c r="AR24" i="12"/>
  <c r="AK24" i="12"/>
  <c r="AS24" i="12"/>
  <c r="AT24" i="12"/>
  <c r="AM24" i="12"/>
  <c r="AN24" i="12"/>
  <c r="AG24" i="12"/>
  <c r="AG5" i="6"/>
  <c r="AH3" i="6" l="1"/>
  <c r="AH23" i="6"/>
  <c r="AH28" i="6" s="1"/>
  <c r="AS23" i="6"/>
  <c r="AS27" i="6" l="1"/>
  <c r="AS28" i="6"/>
  <c r="AH27" i="6"/>
  <c r="AS3" i="6"/>
  <c r="AT5" i="6"/>
  <c r="AG33" i="6"/>
  <c r="AH47" i="6" l="1"/>
  <c r="AH52" i="6" s="1"/>
  <c r="AH51" i="6" l="1"/>
  <c r="AS47" i="6"/>
  <c r="AS52" i="6" l="1"/>
  <c r="AS51" i="6"/>
  <c r="AT33" i="6"/>
  <c r="AU47" i="6"/>
  <c r="AU52" i="6" s="1"/>
  <c r="AG57" i="6"/>
  <c r="AU51" i="6" l="1"/>
  <c r="AH69" i="6"/>
  <c r="AH74" i="6" s="1"/>
  <c r="AH73" i="6" l="1"/>
  <c r="BF94" i="6"/>
  <c r="BF93" i="6"/>
  <c r="BG79" i="6"/>
  <c r="BH93" i="6"/>
  <c r="AG79" i="6"/>
  <c r="BH94" i="6" l="1"/>
  <c r="AS89" i="6"/>
  <c r="AH89" i="6"/>
  <c r="AH94" i="6" s="1"/>
  <c r="AS94" i="6" l="1"/>
  <c r="AS93" i="6"/>
  <c r="AH93" i="6"/>
  <c r="AT79" i="6"/>
  <c r="AU89" i="6"/>
  <c r="AU93" i="6" s="1"/>
  <c r="AU94" i="6" l="1"/>
  <c r="AT12" i="6" l="1"/>
  <c r="AT13" i="6"/>
  <c r="AT7" i="6"/>
  <c r="AT9" i="6"/>
  <c r="AT11" i="6"/>
  <c r="AT8" i="6"/>
  <c r="AT6" i="6"/>
  <c r="AT10" i="6"/>
  <c r="AG5" i="7"/>
  <c r="AS23" i="7" l="1"/>
  <c r="V49" i="10" s="1"/>
  <c r="AS22" i="7" l="1"/>
  <c r="V48" i="10" s="1"/>
  <c r="AT5" i="7"/>
  <c r="AU22" i="7"/>
  <c r="AU23" i="7" l="1"/>
  <c r="AG28" i="7"/>
  <c r="AH26" i="7" l="1"/>
  <c r="AH38" i="7"/>
  <c r="AH42" i="7" s="1"/>
  <c r="AS26" i="7"/>
  <c r="AH43" i="7" l="1"/>
  <c r="AS38" i="7"/>
  <c r="AS43" i="7" l="1"/>
  <c r="AS42" i="7"/>
  <c r="AT28" i="7" l="1"/>
  <c r="AU38" i="7"/>
  <c r="AU42" i="7" s="1"/>
  <c r="AU43" i="7" l="1"/>
  <c r="AT5" i="8" l="1"/>
  <c r="AU19" i="8"/>
  <c r="AU23" i="8" l="1"/>
  <c r="AA48" i="10" s="1"/>
  <c r="AA44" i="10"/>
  <c r="AC44" i="10" s="1"/>
  <c r="AU24" i="8"/>
  <c r="AA49" i="10" s="1"/>
  <c r="AC9" i="12" l="1"/>
  <c r="AC48" i="10"/>
  <c r="AC49" i="10"/>
  <c r="AC10" i="12" l="1"/>
  <c r="AC11" i="12"/>
  <c r="AC12" i="12"/>
  <c r="BG28" i="7"/>
  <c r="BH26" i="7"/>
  <c r="BH38" i="7"/>
  <c r="BH43" i="7" s="1"/>
  <c r="AE11" i="12" l="1"/>
  <c r="AE10" i="12"/>
  <c r="BH42" i="7"/>
  <c r="AM11" i="12" l="1"/>
  <c r="AR11" i="12"/>
  <c r="AN11" i="12"/>
  <c r="AJ11" i="12"/>
  <c r="AL11" i="12"/>
  <c r="AO11" i="12"/>
  <c r="AT11" i="12"/>
  <c r="AH11" i="12"/>
  <c r="AP11" i="12"/>
  <c r="AI11" i="12"/>
  <c r="AQ11" i="12"/>
  <c r="AK11" i="12"/>
  <c r="AS11" i="12"/>
  <c r="AH10" i="12"/>
  <c r="AP10" i="12"/>
  <c r="AI10" i="12"/>
  <c r="AQ10" i="12"/>
  <c r="AJ10" i="12"/>
  <c r="AR10" i="12"/>
  <c r="AK10" i="12"/>
  <c r="AS10" i="12"/>
  <c r="AO10" i="12"/>
  <c r="AL10" i="12"/>
  <c r="AT10" i="12"/>
  <c r="AM10" i="12"/>
  <c r="AM45" i="12" s="1"/>
  <c r="V45" i="12" s="1"/>
  <c r="AN10" i="12"/>
  <c r="AG11" i="12"/>
  <c r="AG10" i="12"/>
  <c r="AO45" i="12" l="1"/>
  <c r="X45" i="12" s="1"/>
  <c r="AS45" i="12"/>
  <c r="AB45" i="12" s="1"/>
  <c r="AT45" i="12"/>
  <c r="AC45" i="12" s="1"/>
  <c r="AI45" i="12"/>
  <c r="R45" i="12" s="1"/>
  <c r="AK45" i="12"/>
  <c r="T45" i="12" s="1"/>
  <c r="AR45" i="12"/>
  <c r="AA45" i="12" s="1"/>
  <c r="AL45" i="12"/>
  <c r="U45" i="12" s="1"/>
  <c r="AQ45" i="12"/>
  <c r="Z45" i="12" s="1"/>
  <c r="AH45" i="12"/>
  <c r="Q45" i="12" s="1"/>
  <c r="AP45" i="12"/>
  <c r="Y45" i="12" s="1"/>
  <c r="AN45" i="12"/>
  <c r="W45" i="12" s="1"/>
  <c r="AJ45" i="12"/>
  <c r="S45" i="12" s="1"/>
  <c r="AG45" i="12"/>
  <c r="P45" i="12" s="1"/>
  <c r="T49" i="8"/>
  <c r="U47" i="8"/>
  <c r="U71" i="8"/>
  <c r="U75" i="8" s="1"/>
  <c r="U76" i="8" l="1"/>
  <c r="AG49" i="8"/>
  <c r="AH47" i="8"/>
  <c r="AH75" i="8"/>
  <c r="AH76" i="8" l="1"/>
  <c r="AG86" i="8"/>
  <c r="AF84" i="8"/>
  <c r="AF96" i="8"/>
  <c r="AF101" i="8" s="1"/>
  <c r="AH96" i="8"/>
  <c r="AH101" i="8" s="1"/>
  <c r="AF100" i="8" l="1"/>
  <c r="AH100" i="8"/>
  <c r="T86" i="8"/>
  <c r="U84" i="8"/>
  <c r="U96" i="8"/>
  <c r="U101" i="8" s="1"/>
  <c r="U100" i="8" l="1"/>
</calcChain>
</file>

<file path=xl/sharedStrings.xml><?xml version="1.0" encoding="utf-8"?>
<sst xmlns="http://schemas.openxmlformats.org/spreadsheetml/2006/main" count="3776" uniqueCount="302">
  <si>
    <t>Georg</t>
  </si>
  <si>
    <t>Peter</t>
  </si>
  <si>
    <t>*</t>
  </si>
  <si>
    <t>Punkte</t>
  </si>
  <si>
    <t>Würfe</t>
  </si>
  <si>
    <t>Punkte/Wurf</t>
  </si>
  <si>
    <t>Fehler</t>
  </si>
  <si>
    <t>Total</t>
  </si>
  <si>
    <t>Punkte/Treffer</t>
  </si>
  <si>
    <t>Martin</t>
  </si>
  <si>
    <t>Flugschneisenwerfer</t>
  </si>
  <si>
    <t>Satz</t>
  </si>
  <si>
    <t>Fehlerquote</t>
  </si>
  <si>
    <t>n.a.</t>
  </si>
  <si>
    <t>Performance Total</t>
  </si>
  <si>
    <t>Durchschnittliche Anspielpunkte</t>
  </si>
  <si>
    <t>Anzahl Anspiele</t>
  </si>
  <si>
    <t>Treffer über 9 (relativ)</t>
  </si>
  <si>
    <t>10er (relativ)</t>
  </si>
  <si>
    <t>10er (absolut)</t>
  </si>
  <si>
    <t>11er (relativ)</t>
  </si>
  <si>
    <t>11er (absolut)</t>
  </si>
  <si>
    <t>12er (relativ)</t>
  </si>
  <si>
    <t>12er (absolut)</t>
  </si>
  <si>
    <t>Anzahl Out durch Fehler</t>
  </si>
  <si>
    <t>Anzahl Überwürfe</t>
  </si>
  <si>
    <t>Anzahl Spiele ohne Fehler (relativ)</t>
  </si>
  <si>
    <t>Anzahl Spiele ohne Fehler (absolut)</t>
  </si>
  <si>
    <t>Durchschnittliche Fehler pro Spiel</t>
  </si>
  <si>
    <t>Fehler (relativ)</t>
  </si>
  <si>
    <t>Fehler (absolut)</t>
  </si>
  <si>
    <t>Treffer</t>
  </si>
  <si>
    <t>Durchschnittliche Anzahl Matchmölkkys pro Spiel</t>
  </si>
  <si>
    <t>Grösste Anzahl Matchmölkkys ein einem Spiel</t>
  </si>
  <si>
    <t>Trefferquote bei Matchmölkkys</t>
  </si>
  <si>
    <t>Vergebene Matchmölkkys</t>
  </si>
  <si>
    <t>Matchmölkkys</t>
  </si>
  <si>
    <t>Anzahl Möglichkeiten auf ein perfektes Mölkky nach 3 Runden (relativ)</t>
  </si>
  <si>
    <t>Anzahl Möglichkeiten auf ein perfektes Mölkky nach 3 Runden (absolut)</t>
  </si>
  <si>
    <t>Durchschnittliche Punkte pro Treffer</t>
  </si>
  <si>
    <t>Durchschnittliche Punkte pro Wurf</t>
  </si>
  <si>
    <t>Durchschnittliche Punkte pro Spiel</t>
  </si>
  <si>
    <t>Gesamtpunktzahl</t>
  </si>
  <si>
    <t>Durchschnittlicher Sieg</t>
  </si>
  <si>
    <t>Schlechtester Sieg</t>
  </si>
  <si>
    <t>Bester Sieg</t>
  </si>
  <si>
    <t>Siege (relativ)</t>
  </si>
  <si>
    <t>Siege (absolut)</t>
  </si>
  <si>
    <t>Spiele absolviert</t>
  </si>
  <si>
    <t>P%</t>
  </si>
  <si>
    <t>G%</t>
  </si>
  <si>
    <t>Best of</t>
  </si>
  <si>
    <t>M%</t>
  </si>
  <si>
    <t>Michael</t>
  </si>
  <si>
    <t>Siggi</t>
  </si>
  <si>
    <t>Sabrina</t>
  </si>
  <si>
    <t>Kaisa</t>
  </si>
  <si>
    <t>Heiko</t>
  </si>
  <si>
    <t>S%</t>
  </si>
  <si>
    <t>F-Gegner</t>
  </si>
  <si>
    <t>K%</t>
  </si>
  <si>
    <t>Rang</t>
  </si>
  <si>
    <t>Treffer unter 4 (absolut)</t>
  </si>
  <si>
    <t>Sicherheitswürfe (absolut)</t>
  </si>
  <si>
    <t>Big Points / Small Points</t>
  </si>
  <si>
    <t>Anzahl Möglichkeiten auf ein perfektes Mölkky nach Erstwurf (absolut)</t>
  </si>
  <si>
    <t>Anzahl Möglichkeiten auf ein perfektes Mölkky nach Erstwurf (relativ)</t>
  </si>
  <si>
    <t>A%</t>
  </si>
  <si>
    <t>Runde 1 - defensiv</t>
  </si>
  <si>
    <t>Runde 1 - offensiv</t>
  </si>
  <si>
    <t>Runde 2 - defensiv</t>
  </si>
  <si>
    <t>Runde 2 - offensiv</t>
  </si>
  <si>
    <t>Runde 3 - defensiv</t>
  </si>
  <si>
    <t>Runde 3 - offensiv</t>
  </si>
  <si>
    <t>Rest - offensiv</t>
  </si>
  <si>
    <t>Rest - defensiv</t>
  </si>
  <si>
    <t>offensiv</t>
  </si>
  <si>
    <t>defensiv</t>
  </si>
  <si>
    <t>Runde 1</t>
  </si>
  <si>
    <t>Runde 2</t>
  </si>
  <si>
    <t>Rest</t>
  </si>
  <si>
    <t>Anspiel - offensiv</t>
  </si>
  <si>
    <t>Aufbau - offensiv</t>
  </si>
  <si>
    <t>Assist - offensiv</t>
  </si>
  <si>
    <t>Finish - offensiv</t>
  </si>
  <si>
    <t>Finish - defensiv</t>
  </si>
  <si>
    <t>Assist - defensiv</t>
  </si>
  <si>
    <t>Aufbau - defensiv</t>
  </si>
  <si>
    <t>Aufbau</t>
  </si>
  <si>
    <t>Assist</t>
  </si>
  <si>
    <t>Finish</t>
  </si>
  <si>
    <t>Verhältnis von Punkten pro Wurf/Treffer</t>
  </si>
  <si>
    <t>Norisfalken</t>
  </si>
  <si>
    <t>Roland</t>
  </si>
  <si>
    <t>Jutta</t>
  </si>
  <si>
    <t>Rainer</t>
  </si>
  <si>
    <t>Anita</t>
  </si>
  <si>
    <t>Tiroler Flugschneisenwerfer</t>
  </si>
  <si>
    <t>Mölkmaschine</t>
  </si>
  <si>
    <t>Detlef</t>
  </si>
  <si>
    <t>Jörg</t>
  </si>
  <si>
    <t>Alex</t>
  </si>
  <si>
    <t>Christoph</t>
  </si>
  <si>
    <t>Mölkky Franken 1</t>
  </si>
  <si>
    <t>Sabine</t>
  </si>
  <si>
    <t>Klötzlemädels</t>
  </si>
  <si>
    <t>Heike</t>
  </si>
  <si>
    <t>Carmen</t>
  </si>
  <si>
    <t>Sylvia</t>
  </si>
  <si>
    <t>Patrick</t>
  </si>
  <si>
    <t>Anna</t>
  </si>
  <si>
    <t>Daniel</t>
  </si>
  <si>
    <t>Stock and friends</t>
  </si>
  <si>
    <t>Marius</t>
  </si>
  <si>
    <t>Stöckla Buom</t>
  </si>
  <si>
    <t>Thomas</t>
  </si>
  <si>
    <t>Alfred</t>
  </si>
  <si>
    <t>Men O'Mölkk</t>
  </si>
  <si>
    <t>Volkmar</t>
  </si>
  <si>
    <t>Roland G.</t>
  </si>
  <si>
    <t>Roland W.</t>
  </si>
  <si>
    <t>Johannes</t>
  </si>
  <si>
    <t>SM14</t>
  </si>
  <si>
    <t>SM14 (Flugschneise CH)</t>
  </si>
  <si>
    <t>SM13 (Flugschneise CH)</t>
  </si>
  <si>
    <t>TF-Gegner</t>
  </si>
  <si>
    <t>TF%</t>
  </si>
  <si>
    <t>MoM%</t>
  </si>
  <si>
    <t>MM%</t>
  </si>
  <si>
    <t>MF1%</t>
  </si>
  <si>
    <t>Mölkkmaschine</t>
  </si>
  <si>
    <t>Mölkk or Die</t>
  </si>
  <si>
    <t>Stefan</t>
  </si>
  <si>
    <t>Santiago</t>
  </si>
  <si>
    <t>Horst</t>
  </si>
  <si>
    <t>Mike</t>
  </si>
  <si>
    <t>André</t>
  </si>
  <si>
    <t>Christel</t>
  </si>
  <si>
    <t>Pistepirkot</t>
  </si>
  <si>
    <t>Paula</t>
  </si>
  <si>
    <t>Kathi</t>
  </si>
  <si>
    <t>Eija</t>
  </si>
  <si>
    <t>Marjukka</t>
  </si>
  <si>
    <t>Stöckla Boum</t>
  </si>
  <si>
    <t>KickörKellör I</t>
  </si>
  <si>
    <t>Holzwürmer</t>
  </si>
  <si>
    <t>NPV</t>
  </si>
  <si>
    <t>Markus</t>
  </si>
  <si>
    <t>Heite</t>
  </si>
  <si>
    <t>Günter</t>
  </si>
  <si>
    <t>Sebastian</t>
  </si>
  <si>
    <t>Mathias</t>
  </si>
  <si>
    <t>Sarbina</t>
  </si>
  <si>
    <t>Kleiner Final</t>
  </si>
  <si>
    <t>Final</t>
  </si>
  <si>
    <t>Stökkla Buom</t>
  </si>
  <si>
    <t>SB%</t>
  </si>
  <si>
    <t>MoD%</t>
  </si>
  <si>
    <t>N%</t>
  </si>
  <si>
    <t>H%</t>
  </si>
  <si>
    <t>NPV%</t>
  </si>
  <si>
    <t>Kl%</t>
  </si>
  <si>
    <t>KoK%</t>
  </si>
  <si>
    <t>Saf%</t>
  </si>
  <si>
    <t>Walter</t>
  </si>
  <si>
    <t>Silke</t>
  </si>
  <si>
    <t>Tina</t>
  </si>
  <si>
    <t>Caro</t>
  </si>
  <si>
    <t>Maria</t>
  </si>
  <si>
    <t>Gisela</t>
  </si>
  <si>
    <t>Andre</t>
  </si>
  <si>
    <t>Rolannd</t>
  </si>
  <si>
    <t>Carina</t>
  </si>
  <si>
    <t>w.o.</t>
  </si>
  <si>
    <t>Platz 5</t>
  </si>
  <si>
    <t>Platz 7</t>
  </si>
  <si>
    <t>Platz 9</t>
  </si>
  <si>
    <t>Platz 11</t>
  </si>
  <si>
    <t>RW%</t>
  </si>
  <si>
    <t>J%</t>
  </si>
  <si>
    <t>V%</t>
  </si>
  <si>
    <t>RG%</t>
  </si>
  <si>
    <t>,</t>
  </si>
  <si>
    <t>Det%</t>
  </si>
  <si>
    <t>Jö%</t>
  </si>
  <si>
    <t>C%</t>
  </si>
  <si>
    <t>Mar%</t>
  </si>
  <si>
    <t>Mak%</t>
  </si>
  <si>
    <t>T%</t>
  </si>
  <si>
    <t>St%</t>
  </si>
  <si>
    <t>Sa%</t>
  </si>
  <si>
    <t>Ho%</t>
  </si>
  <si>
    <t>E%</t>
  </si>
  <si>
    <t>Rai%</t>
  </si>
  <si>
    <t>Rol%</t>
  </si>
  <si>
    <t>Mk%</t>
  </si>
  <si>
    <t>W%</t>
  </si>
  <si>
    <t>C %</t>
  </si>
  <si>
    <t>Sy%</t>
  </si>
  <si>
    <t>Se%</t>
  </si>
  <si>
    <t>An%</t>
  </si>
  <si>
    <t>Da%</t>
  </si>
  <si>
    <t>Ma%</t>
  </si>
  <si>
    <t>Pa%</t>
  </si>
  <si>
    <t>He%</t>
  </si>
  <si>
    <t>MMT14</t>
  </si>
  <si>
    <t>12 gewinnt</t>
  </si>
  <si>
    <t>Pirkot</t>
  </si>
  <si>
    <t>X-Men</t>
  </si>
  <si>
    <t>NPV I</t>
  </si>
  <si>
    <t>NPV II</t>
  </si>
  <si>
    <t>Performance</t>
  </si>
  <si>
    <t>Treffer 1-9 (relativ)</t>
  </si>
  <si>
    <t>Treffer 10-12 (relativ)</t>
  </si>
  <si>
    <t>Holzfäller</t>
  </si>
  <si>
    <t>Stökkla Boum</t>
  </si>
  <si>
    <t>Di Holzbögg</t>
  </si>
  <si>
    <t>Pirkot/Erja</t>
  </si>
  <si>
    <t>Pirkot/Paula</t>
  </si>
  <si>
    <t>X-Men/Martin</t>
  </si>
  <si>
    <t>Holzfäller/Sabine</t>
  </si>
  <si>
    <t>Holzfäller/Michael</t>
  </si>
  <si>
    <t>Stökkla Boum/Thomas</t>
  </si>
  <si>
    <t>Stökkla Boum/Heiko</t>
  </si>
  <si>
    <t>Stökkla Boum/Siggi</t>
  </si>
  <si>
    <t>NPV II/Walter</t>
  </si>
  <si>
    <t>NPV II/Kathi</t>
  </si>
  <si>
    <t>Mölkk-maschine/Marius</t>
  </si>
  <si>
    <t>Mölkk-maschine/Markus</t>
  </si>
  <si>
    <t>Mölkk-maschine/Jörg</t>
  </si>
  <si>
    <t>Mölkk-maschine/Christoph</t>
  </si>
  <si>
    <t>Mölkk-maschine/Alex</t>
  </si>
  <si>
    <t>Men O'Mölkk/Volkmar</t>
  </si>
  <si>
    <t>Men O'Mölkk/Johannes</t>
  </si>
  <si>
    <t>Men O'Mölkk/Roland</t>
  </si>
  <si>
    <t>Di Holzbögg/Mike</t>
  </si>
  <si>
    <t>Di Holzbögg/Roland</t>
  </si>
  <si>
    <t>Di Holzbögg/Michael</t>
  </si>
  <si>
    <t>NPV I/Georg</t>
  </si>
  <si>
    <t>Best of MMT 2015</t>
  </si>
  <si>
    <t>Worst of MMT 2015</t>
  </si>
  <si>
    <t>Best of MMT 2014</t>
  </si>
  <si>
    <t>Worst of MMT 2014</t>
  </si>
  <si>
    <t>Worst of</t>
  </si>
  <si>
    <t>Spieler</t>
  </si>
  <si>
    <t>Tiroler Flugschneisenwerfer/Georg</t>
  </si>
  <si>
    <t>Tiroler Flugschneisenwerfer/Peter</t>
  </si>
  <si>
    <t>Tiroler Flugschneisenwerfer/Michael</t>
  </si>
  <si>
    <t>Tiroler Flugschneisenwerfer/Kaisa</t>
  </si>
  <si>
    <t>Men O'Mölkk/Roland W.</t>
  </si>
  <si>
    <t>Men O'Mölkk/Roland G.</t>
  </si>
  <si>
    <t>Mölkkmaschine/Detlef</t>
  </si>
  <si>
    <t>Mölkkmaschine/Jörg</t>
  </si>
  <si>
    <t>Mölkkmaschine/Alex</t>
  </si>
  <si>
    <t>Mölkkmaschine/Christoph</t>
  </si>
  <si>
    <t>Mölkkmaschine/Marius</t>
  </si>
  <si>
    <t>Mölkkmaschine/Markus</t>
  </si>
  <si>
    <t>Mölkky Franken 1/Peter</t>
  </si>
  <si>
    <t>Mölkky Franken 1/Sabine</t>
  </si>
  <si>
    <t>Mölkky Franken 1/Michael</t>
  </si>
  <si>
    <t>Mölkky Franken 1/Anita</t>
  </si>
  <si>
    <t>Stökkla Buom/Siggi</t>
  </si>
  <si>
    <t>Stökkla Buom/Günter</t>
  </si>
  <si>
    <t>Stökkla Buom/Heiko</t>
  </si>
  <si>
    <t>Stökkla Buom/Thomas</t>
  </si>
  <si>
    <t>Stökkla Buom/Alfred</t>
  </si>
  <si>
    <t>KickörKellör I/Michael</t>
  </si>
  <si>
    <t>KickörKellör I/Christel</t>
  </si>
  <si>
    <t>KickörKellör I/Stefan</t>
  </si>
  <si>
    <t>KickörKellör I/Mike</t>
  </si>
  <si>
    <t>KickörKellör I/André</t>
  </si>
  <si>
    <t>Mölkk or Die/Martin</t>
  </si>
  <si>
    <t>Mölkk or Die/Stefan</t>
  </si>
  <si>
    <t>Mölkk or Die/Santiago</t>
  </si>
  <si>
    <t>Mölkk or Die/Horst</t>
  </si>
  <si>
    <t>Pistepirkot/Paula</t>
  </si>
  <si>
    <t>Pistepirkot/Kathi</t>
  </si>
  <si>
    <t>Pistepirkot/Eija</t>
  </si>
  <si>
    <t>Pistepirkot/Marjukka</t>
  </si>
  <si>
    <t>Norisfalken/Anita</t>
  </si>
  <si>
    <t>Norisfalken/Jutta</t>
  </si>
  <si>
    <t>Norisfalken/Maria</t>
  </si>
  <si>
    <t>Norisfalken/Rainer</t>
  </si>
  <si>
    <t>Norisfalken/Roland</t>
  </si>
  <si>
    <t>NPV/Walter</t>
  </si>
  <si>
    <t>NPV/Silke</t>
  </si>
  <si>
    <t>NPV/Tina</t>
  </si>
  <si>
    <t>NPV/Caro</t>
  </si>
  <si>
    <t>Holzwürmer/Walter</t>
  </si>
  <si>
    <t>Holzwürmer/Carina</t>
  </si>
  <si>
    <t>Holzwürmer/Alex</t>
  </si>
  <si>
    <t>Holzwürmer/Gisela</t>
  </si>
  <si>
    <t>Klötzlemädels/Heike</t>
  </si>
  <si>
    <t>Klötzlemädels/Carmen</t>
  </si>
  <si>
    <t>Klötzlemädels/Sabrina</t>
  </si>
  <si>
    <t>Klötzlemädels/Sylvia</t>
  </si>
  <si>
    <t>Stock and friends/Sebastian</t>
  </si>
  <si>
    <t>Stock and friends/Anna</t>
  </si>
  <si>
    <t>Stock and friends/Daniel</t>
  </si>
  <si>
    <t>Stock and friends/Mathias</t>
  </si>
  <si>
    <t>Stock and friends/Patrick</t>
  </si>
  <si>
    <t>Stock and friends/Heiko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</si>
</sst>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43" formatCode="_ * #,##0.00_ ;_ * \-#,##0.00_ ;_ * &quot;-&quot;??_ ;_ @_ "/>
    <numFmt numFmtId="164" formatCode="0.0"/>
    <numFmt numFmtId="165" formatCode="0_ ;[Red]\-0\ "/>
    <numFmt numFmtId="166" formatCode="_ * #,##0.0_ ;_ * \-#,##0.0_ ;_ * &quot;-&quot;_ ;_ @_ "/>
    <numFmt numFmtId="167" formatCode="_ * #,##0.0_ ;_ * \-#,##0.0_ ;_ * &quot;-&quot;??_ ;_ @_ "/>
  </numFmts>
  <fonts count="103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Futura Book"/>
      <family val="2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color rgb="FF9C6500"/>
      <name val="Frutiger for ZKB Light"/>
      <family val="2"/>
    </font>
    <font>
      <sz val="10"/>
      <color rgb="FF006100"/>
      <name val="Frutiger for ZKB Light"/>
      <family val="2"/>
    </font>
    <font>
      <b/>
      <i/>
      <sz val="12"/>
      <name val="Arial"/>
      <family val="2"/>
    </font>
    <font>
      <sz val="10"/>
      <color rgb="FF9C0006"/>
      <name val="Frutiger for ZKB Light"/>
      <family val="2"/>
    </font>
    <font>
      <sz val="10"/>
      <color rgb="FF3F3F76"/>
      <name val="Frutiger for ZKB Light"/>
      <family val="2"/>
    </font>
    <font>
      <b/>
      <sz val="12"/>
      <color rgb="FFFF0000"/>
      <name val="Arial"/>
      <family val="2"/>
    </font>
    <font>
      <sz val="12"/>
      <color rgb="FF3F3F76"/>
      <name val="Arial"/>
      <family val="2"/>
    </font>
    <font>
      <sz val="11"/>
      <color theme="1"/>
      <name val="Arial"/>
      <family val="2"/>
    </font>
    <font>
      <sz val="11"/>
      <color rgb="FF9C650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00610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color rgb="FF9C0006"/>
      <name val="Arial"/>
      <family val="2"/>
    </font>
    <font>
      <sz val="11"/>
      <color rgb="FF3F3F76"/>
      <name val="Calibri"/>
      <family val="2"/>
      <scheme val="minor"/>
    </font>
    <font>
      <sz val="12"/>
      <color rgb="FF9C0006"/>
      <name val="Arial"/>
      <family val="2"/>
    </font>
    <font>
      <sz val="12"/>
      <color rgb="FF006100"/>
      <name val="Arial"/>
      <family val="2"/>
    </font>
    <font>
      <sz val="12"/>
      <color rgb="FF9C6500"/>
      <name val="Arial"/>
      <family val="2"/>
    </font>
    <font>
      <sz val="12"/>
      <color rgb="FF006100"/>
      <name val="Calibri"/>
      <family val="2"/>
      <scheme val="minor"/>
    </font>
    <font>
      <sz val="12"/>
      <color rgb="FFFF0000"/>
      <name val="Arial"/>
      <family val="2"/>
    </font>
    <font>
      <sz val="12"/>
      <color rgb="FF0070C0"/>
      <name val="Arial"/>
      <family val="2"/>
    </font>
    <font>
      <sz val="12"/>
      <color rgb="FF006100"/>
      <name val="Frutiger for ZKB Light"/>
      <family val="2"/>
    </font>
    <font>
      <b/>
      <sz val="12"/>
      <color rgb="FF006100"/>
      <name val="Frutiger for ZKB Light"/>
    </font>
    <font>
      <b/>
      <sz val="12"/>
      <color rgb="FF9C6500"/>
      <name val="Frutiger for ZKB Light"/>
    </font>
    <font>
      <sz val="12"/>
      <color theme="1"/>
      <name val="Calibri"/>
      <family val="2"/>
      <scheme val="minor"/>
    </font>
    <font>
      <sz val="12"/>
      <color theme="0" tint="-0.499984740745262"/>
      <name val="Arial"/>
      <family val="2"/>
    </font>
    <font>
      <sz val="12"/>
      <color theme="0" tint="-0.499984740745262"/>
      <name val="Frutiger for ZKB Light"/>
      <family val="2"/>
    </font>
    <font>
      <b/>
      <sz val="12"/>
      <color theme="0" tint="-0.499984740745262"/>
      <name val="Arial"/>
      <family val="2"/>
    </font>
    <font>
      <b/>
      <sz val="12"/>
      <color theme="0" tint="-0.499984740745262"/>
      <name val="Frutiger for ZKB Light"/>
      <family val="2"/>
    </font>
    <font>
      <b/>
      <sz val="12"/>
      <color rgb="FF9C6500"/>
      <name val="Frutiger for ZKB Light"/>
      <family val="2"/>
    </font>
    <font>
      <b/>
      <sz val="12"/>
      <color rgb="FF006100"/>
      <name val="Frutiger for ZKB Light"/>
      <family val="2"/>
    </font>
    <font>
      <b/>
      <sz val="12"/>
      <color rgb="FF0070C0"/>
      <name val="Arial"/>
      <family val="2"/>
    </font>
    <font>
      <b/>
      <sz val="12"/>
      <color rgb="FF006100"/>
      <name val="Arial"/>
      <family val="2"/>
    </font>
    <font>
      <sz val="12"/>
      <name val="Frutiger for ZKB Light"/>
      <family val="2"/>
    </font>
    <font>
      <sz val="12"/>
      <name val="Frutiger for ZKB Light"/>
    </font>
    <font>
      <i/>
      <sz val="12"/>
      <color theme="1"/>
      <name val="Arial"/>
      <family val="2"/>
    </font>
    <font>
      <i/>
      <sz val="12"/>
      <color theme="0" tint="-0.499984740745262"/>
      <name val="Frutiger for ZKB Light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Frutiger for ZKB Light"/>
      <family val="2"/>
    </font>
    <font>
      <b/>
      <sz val="12"/>
      <name val="Frutiger for ZKB Light"/>
    </font>
    <font>
      <b/>
      <sz val="12"/>
      <color rgb="FFFF0000"/>
      <name val="Frutiger for ZKB Light"/>
    </font>
    <font>
      <sz val="12"/>
      <color rgb="FF006100"/>
      <name val="Frutiger for ZKB Light"/>
    </font>
    <font>
      <sz val="10"/>
      <name val="Frutiger for ZKB Light"/>
      <family val="2"/>
    </font>
    <font>
      <sz val="12"/>
      <color rgb="FF9C6500"/>
      <name val="Frutiger for ZKB Light"/>
    </font>
    <font>
      <b/>
      <sz val="12"/>
      <color rgb="FFFF0000"/>
      <name val="Frutiger for ZKB Light"/>
      <family val="2"/>
    </font>
    <font>
      <sz val="12"/>
      <color rgb="FF7030A0"/>
      <name val="Arial"/>
      <family val="2"/>
    </font>
    <font>
      <sz val="12"/>
      <color rgb="FF9C0006"/>
      <name val="Frutiger for ZKB Light"/>
      <family val="2"/>
    </font>
    <font>
      <b/>
      <sz val="12"/>
      <color rgb="FF9C0006"/>
      <name val="Frutiger for ZKB Light"/>
    </font>
    <font>
      <sz val="12"/>
      <color rgb="FF9C0006"/>
      <name val="Frutiger for ZKB Light"/>
    </font>
    <font>
      <sz val="12"/>
      <color theme="0" tint="-0.499984740745262"/>
      <name val="Frutiger for ZKB Light"/>
    </font>
    <font>
      <sz val="12"/>
      <color rgb="FF3F3F76"/>
      <name val="Calibri"/>
      <family val="2"/>
      <scheme val="minor"/>
    </font>
    <font>
      <sz val="12"/>
      <color rgb="FF9C6500"/>
      <name val="Frutiger for ZKB Light"/>
      <family val="2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theme="1"/>
      <name val="Futura Book"/>
      <family val="2"/>
    </font>
    <font>
      <sz val="12"/>
      <color rgb="FF3F3F76"/>
      <name val="Frutiger for ZKB Light"/>
      <family val="2"/>
    </font>
    <font>
      <sz val="12"/>
      <color theme="0" tint="-0.49998474074526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61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Frutiger for ZKB Light"/>
    </font>
    <font>
      <b/>
      <sz val="12"/>
      <color rgb="FF9C6500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6"/>
      <color rgb="FF006100"/>
      <name val="Arial"/>
      <family val="2"/>
    </font>
    <font>
      <b/>
      <sz val="16"/>
      <color rgb="FF9C6500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color theme="0" tint="-0.499984740745262"/>
      <name val="Arial"/>
      <family val="2"/>
    </font>
    <font>
      <b/>
      <sz val="11"/>
      <color theme="0" tint="-0.499984740745262"/>
      <name val="Arial"/>
      <family val="2"/>
    </font>
    <font>
      <i/>
      <sz val="11"/>
      <color theme="0" tint="-0.499984740745262"/>
      <name val="Arial"/>
      <family val="2"/>
    </font>
    <font>
      <b/>
      <sz val="14"/>
      <color theme="0" tint="-0.499984740745262"/>
      <name val="Arial"/>
      <family val="2"/>
    </font>
    <font>
      <b/>
      <sz val="16"/>
      <color theme="0" tint="-0.499984740745262"/>
      <name val="Arial"/>
      <family val="2"/>
    </font>
    <font>
      <b/>
      <i/>
      <sz val="14"/>
      <color theme="0" tint="-0.499984740745262"/>
      <name val="Arial"/>
      <family val="2"/>
    </font>
    <font>
      <b/>
      <sz val="12"/>
      <color rgb="FF9C0006"/>
      <name val="Arial"/>
      <family val="2"/>
    </font>
    <font>
      <b/>
      <sz val="16"/>
      <color rgb="FF9C0006"/>
      <name val="Arial"/>
      <family val="2"/>
    </font>
    <font>
      <b/>
      <sz val="11"/>
      <color rgb="FF006100"/>
      <name val="Frutiger for ZKB Light"/>
    </font>
    <font>
      <b/>
      <sz val="11"/>
      <name val="Frutiger for ZKB Light"/>
      <family val="2"/>
    </font>
    <font>
      <b/>
      <sz val="11"/>
      <name val="Frutiger for ZKB Light"/>
    </font>
    <font>
      <b/>
      <i/>
      <sz val="11"/>
      <name val="Arial"/>
      <family val="2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theme="0" tint="-0.499984740745262"/>
      <name val="Frutiger for ZKB Light"/>
    </font>
    <font>
      <b/>
      <sz val="11"/>
      <color rgb="FF000000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/>
    <xf numFmtId="0" fontId="4" fillId="4" borderId="0" applyNumberFormat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1" fillId="4" borderId="0" applyNumberFormat="0" applyBorder="0" applyAlignment="0" applyProtection="0"/>
    <xf numFmtId="0" fontId="12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5" borderId="14" applyNumberFormat="0" applyAlignment="0" applyProtection="0"/>
    <xf numFmtId="0" fontId="27" fillId="5" borderId="14" applyNumberFormat="0" applyAlignment="0" applyProtection="0"/>
    <xf numFmtId="0" fontId="5" fillId="12" borderId="0" applyNumberFormat="0" applyBorder="0" applyAlignment="0" applyProtection="0"/>
    <xf numFmtId="43" fontId="5" fillId="0" borderId="0" applyFont="0" applyFill="0" applyBorder="0" applyAlignment="0" applyProtection="0"/>
    <xf numFmtId="0" fontId="5" fillId="19" borderId="0" applyNumberFormat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642">
    <xf numFmtId="0" fontId="0" fillId="0" borderId="0" xfId="0"/>
    <xf numFmtId="0" fontId="6" fillId="0" borderId="0" xfId="3" applyFont="1"/>
    <xf numFmtId="0" fontId="6" fillId="6" borderId="0" xfId="3" applyFont="1" applyFill="1"/>
    <xf numFmtId="0" fontId="7" fillId="0" borderId="0" xfId="3" applyFont="1" applyFill="1"/>
    <xf numFmtId="0" fontId="8" fillId="0" borderId="0" xfId="3" applyFont="1" applyFill="1"/>
    <xf numFmtId="0" fontId="7" fillId="0" borderId="0" xfId="3" applyFont="1" applyFill="1" applyAlignment="1"/>
    <xf numFmtId="0" fontId="10" fillId="0" borderId="0" xfId="3" applyFont="1"/>
    <xf numFmtId="0" fontId="13" fillId="0" borderId="0" xfId="3" applyFont="1" applyFill="1"/>
    <xf numFmtId="0" fontId="9" fillId="6" borderId="0" xfId="3" applyFont="1" applyFill="1"/>
    <xf numFmtId="9" fontId="9" fillId="0" borderId="0" xfId="7" applyNumberFormat="1" applyFont="1" applyFill="1"/>
    <xf numFmtId="0" fontId="7" fillId="6" borderId="0" xfId="3" applyFont="1" applyFill="1"/>
    <xf numFmtId="9" fontId="7" fillId="0" borderId="0" xfId="9" applyNumberFormat="1" applyFont="1" applyFill="1"/>
    <xf numFmtId="9" fontId="7" fillId="0" borderId="0" xfId="8" applyNumberFormat="1" applyFont="1" applyFill="1"/>
    <xf numFmtId="164" fontId="7" fillId="0" borderId="0" xfId="9" applyNumberFormat="1" applyFont="1" applyFill="1"/>
    <xf numFmtId="9" fontId="7" fillId="0" borderId="0" xfId="7" applyNumberFormat="1" applyFont="1" applyFill="1"/>
    <xf numFmtId="0" fontId="16" fillId="5" borderId="14" xfId="10" applyFont="1"/>
    <xf numFmtId="0" fontId="7" fillId="0" borderId="0" xfId="8" applyFont="1" applyFill="1"/>
    <xf numFmtId="0" fontId="7" fillId="0" borderId="0" xfId="7" applyFont="1" applyFill="1"/>
    <xf numFmtId="0" fontId="7" fillId="0" borderId="0" xfId="1" applyFont="1" applyFill="1"/>
    <xf numFmtId="0" fontId="7" fillId="0" borderId="0" xfId="9" applyFont="1" applyFill="1"/>
    <xf numFmtId="0" fontId="17" fillId="5" borderId="14" xfId="10" applyFont="1"/>
    <xf numFmtId="1" fontId="7" fillId="0" borderId="0" xfId="7" applyNumberFormat="1" applyFont="1" applyFill="1"/>
    <xf numFmtId="1" fontId="7" fillId="0" borderId="0" xfId="9" applyNumberFormat="1" applyFont="1" applyFill="1"/>
    <xf numFmtId="1" fontId="7" fillId="0" borderId="0" xfId="8" applyNumberFormat="1" applyFont="1" applyFill="1"/>
    <xf numFmtId="0" fontId="16" fillId="7" borderId="0" xfId="3" applyFont="1" applyFill="1"/>
    <xf numFmtId="0" fontId="6" fillId="7" borderId="0" xfId="3" applyFont="1" applyFill="1"/>
    <xf numFmtId="164" fontId="7" fillId="0" borderId="0" xfId="8" applyNumberFormat="1" applyFont="1" applyFill="1"/>
    <xf numFmtId="164" fontId="7" fillId="0" borderId="0" xfId="7" applyNumberFormat="1" applyFont="1" applyFill="1"/>
    <xf numFmtId="0" fontId="16" fillId="0" borderId="0" xfId="3" applyFont="1"/>
    <xf numFmtId="0" fontId="7" fillId="0" borderId="0" xfId="4" applyFont="1" applyFill="1"/>
    <xf numFmtId="0" fontId="7" fillId="0" borderId="0" xfId="2" applyFont="1" applyFill="1"/>
    <xf numFmtId="0" fontId="9" fillId="0" borderId="0" xfId="3" applyFont="1" applyFill="1"/>
    <xf numFmtId="0" fontId="18" fillId="0" borderId="0" xfId="0" applyFont="1"/>
    <xf numFmtId="0" fontId="19" fillId="9" borderId="0" xfId="4" applyFont="1" applyFill="1" applyBorder="1"/>
    <xf numFmtId="0" fontId="20" fillId="9" borderId="0" xfId="0" applyFont="1" applyFill="1" applyBorder="1" applyAlignment="1">
      <alignment horizontal="center"/>
    </xf>
    <xf numFmtId="0" fontId="21" fillId="0" borderId="0" xfId="3" applyFont="1" applyFill="1"/>
    <xf numFmtId="0" fontId="18" fillId="9" borderId="0" xfId="3" applyFont="1" applyFill="1"/>
    <xf numFmtId="0" fontId="22" fillId="9" borderId="0" xfId="1" applyFont="1" applyFill="1" applyBorder="1" applyAlignment="1"/>
    <xf numFmtId="0" fontId="20" fillId="9" borderId="0" xfId="1" applyFont="1" applyFill="1" applyBorder="1" applyAlignment="1">
      <alignment horizontal="center"/>
    </xf>
    <xf numFmtId="0" fontId="20" fillId="9" borderId="0" xfId="1" applyFont="1" applyFill="1" applyBorder="1" applyAlignment="1"/>
    <xf numFmtId="0" fontId="20" fillId="0" borderId="0" xfId="0" applyFont="1" applyFill="1"/>
    <xf numFmtId="0" fontId="20" fillId="0" borderId="0" xfId="1" applyFont="1" applyFill="1" applyBorder="1" applyAlignment="1">
      <alignment horizontal="center"/>
    </xf>
    <xf numFmtId="0" fontId="20" fillId="9" borderId="0" xfId="0" applyFont="1" applyFill="1" applyBorder="1" applyAlignment="1">
      <alignment textRotation="90"/>
    </xf>
    <xf numFmtId="0" fontId="22" fillId="9" borderId="0" xfId="1" applyFont="1" applyFill="1" applyBorder="1" applyAlignment="1">
      <alignment horizontal="center" textRotation="90"/>
    </xf>
    <xf numFmtId="0" fontId="20" fillId="9" borderId="0" xfId="2" applyFont="1" applyFill="1" applyBorder="1" applyAlignment="1">
      <alignment horizontal="center" textRotation="90"/>
    </xf>
    <xf numFmtId="0" fontId="20" fillId="9" borderId="0" xfId="0" applyFont="1" applyFill="1" applyBorder="1" applyAlignment="1">
      <alignment horizontal="center" textRotation="90"/>
    </xf>
    <xf numFmtId="0" fontId="20" fillId="9" borderId="0" xfId="1" applyFont="1" applyFill="1" applyBorder="1" applyAlignment="1">
      <alignment horizontal="center" textRotation="90"/>
    </xf>
    <xf numFmtId="0" fontId="20" fillId="0" borderId="0" xfId="0" applyFont="1" applyFill="1" applyAlignment="1">
      <alignment textRotation="90"/>
    </xf>
    <xf numFmtId="0" fontId="22" fillId="2" borderId="1" xfId="1" applyFont="1" applyBorder="1" applyAlignment="1">
      <alignment horizontal="center" textRotation="90"/>
    </xf>
    <xf numFmtId="0" fontId="20" fillId="0" borderId="0" xfId="2" applyFont="1" applyFill="1" applyBorder="1" applyAlignment="1">
      <alignment horizontal="center" textRotation="90"/>
    </xf>
    <xf numFmtId="0" fontId="20" fillId="9" borderId="0" xfId="0" applyFont="1" applyFill="1" applyBorder="1"/>
    <xf numFmtId="0" fontId="20" fillId="0" borderId="2" xfId="0" applyFont="1" applyFill="1" applyBorder="1"/>
    <xf numFmtId="0" fontId="20" fillId="0" borderId="1" xfId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3" fillId="0" borderId="1" xfId="3" applyFont="1" applyFill="1" applyBorder="1" applyAlignment="1">
      <alignment horizontal="center"/>
    </xf>
    <xf numFmtId="0" fontId="23" fillId="0" borderId="6" xfId="3" applyFont="1" applyFill="1" applyBorder="1" applyAlignment="1">
      <alignment horizontal="center"/>
    </xf>
    <xf numFmtId="0" fontId="20" fillId="0" borderId="3" xfId="0" applyFont="1" applyFill="1" applyBorder="1"/>
    <xf numFmtId="0" fontId="24" fillId="9" borderId="0" xfId="1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3" applyFont="1" applyFill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5" fillId="9" borderId="0" xfId="0" applyFont="1" applyFill="1" applyBorder="1" applyAlignment="1">
      <alignment horizontal="right"/>
    </xf>
    <xf numFmtId="0" fontId="25" fillId="9" borderId="0" xfId="0" applyFont="1" applyFill="1" applyBorder="1" applyAlignment="1">
      <alignment horizontal="center"/>
    </xf>
    <xf numFmtId="0" fontId="20" fillId="9" borderId="0" xfId="2" applyFont="1" applyFill="1" applyBorder="1" applyAlignment="1">
      <alignment horizontal="center"/>
    </xf>
    <xf numFmtId="0" fontId="25" fillId="0" borderId="3" xfId="0" applyFont="1" applyFill="1" applyBorder="1" applyAlignment="1">
      <alignment horizontal="right"/>
    </xf>
    <xf numFmtId="0" fontId="20" fillId="0" borderId="1" xfId="2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right"/>
    </xf>
    <xf numFmtId="9" fontId="20" fillId="9" borderId="0" xfId="5" applyFont="1" applyFill="1" applyBorder="1" applyAlignment="1">
      <alignment horizontal="center"/>
    </xf>
    <xf numFmtId="9" fontId="20" fillId="9" borderId="0" xfId="1" applyNumberFormat="1" applyFont="1" applyFill="1" applyBorder="1" applyAlignment="1">
      <alignment horizontal="center"/>
    </xf>
    <xf numFmtId="9" fontId="25" fillId="9" borderId="0" xfId="0" applyNumberFormat="1" applyFont="1" applyFill="1" applyBorder="1" applyAlignment="1">
      <alignment horizontal="center"/>
    </xf>
    <xf numFmtId="9" fontId="20" fillId="9" borderId="0" xfId="2" applyNumberFormat="1" applyFont="1" applyFill="1" applyBorder="1" applyAlignment="1">
      <alignment horizontal="center"/>
    </xf>
    <xf numFmtId="9" fontId="20" fillId="0" borderId="1" xfId="1" applyNumberFormat="1" applyFont="1" applyFill="1" applyBorder="1" applyAlignment="1">
      <alignment horizontal="center"/>
    </xf>
    <xf numFmtId="9" fontId="20" fillId="0" borderId="1" xfId="2" applyNumberFormat="1" applyFont="1" applyFill="1" applyBorder="1" applyAlignment="1">
      <alignment horizontal="center"/>
    </xf>
    <xf numFmtId="9" fontId="25" fillId="0" borderId="1" xfId="0" applyNumberFormat="1" applyFont="1" applyFill="1" applyBorder="1" applyAlignment="1">
      <alignment horizontal="center"/>
    </xf>
    <xf numFmtId="9" fontId="20" fillId="0" borderId="1" xfId="5" applyFont="1" applyFill="1" applyBorder="1" applyAlignment="1">
      <alignment horizontal="center"/>
    </xf>
    <xf numFmtId="164" fontId="20" fillId="9" borderId="0" xfId="1" applyNumberFormat="1" applyFont="1" applyFill="1" applyBorder="1" applyAlignment="1">
      <alignment horizontal="center"/>
    </xf>
    <xf numFmtId="164" fontId="25" fillId="9" borderId="0" xfId="1" applyNumberFormat="1" applyFont="1" applyFill="1" applyBorder="1" applyAlignment="1">
      <alignment horizontal="center"/>
    </xf>
    <xf numFmtId="164" fontId="20" fillId="9" borderId="0" xfId="2" applyNumberFormat="1" applyFont="1" applyFill="1" applyBorder="1" applyAlignment="1">
      <alignment horizontal="center"/>
    </xf>
    <xf numFmtId="164" fontId="20" fillId="0" borderId="1" xfId="1" applyNumberFormat="1" applyFont="1" applyFill="1" applyBorder="1" applyAlignment="1">
      <alignment horizontal="center"/>
    </xf>
    <xf numFmtId="164" fontId="20" fillId="0" borderId="1" xfId="2" applyNumberFormat="1" applyFont="1" applyFill="1" applyBorder="1" applyAlignment="1">
      <alignment horizontal="center"/>
    </xf>
    <xf numFmtId="164" fontId="25" fillId="0" borderId="1" xfId="1" applyNumberFormat="1" applyFont="1" applyFill="1" applyBorder="1" applyAlignment="1">
      <alignment horizontal="center"/>
    </xf>
    <xf numFmtId="164" fontId="20" fillId="9" borderId="0" xfId="0" applyNumberFormat="1" applyFont="1" applyFill="1" applyBorder="1" applyAlignment="1">
      <alignment horizontal="center"/>
    </xf>
    <xf numFmtId="164" fontId="25" fillId="9" borderId="0" xfId="0" applyNumberFormat="1" applyFont="1" applyFill="1" applyBorder="1" applyAlignment="1">
      <alignment horizontal="center"/>
    </xf>
    <xf numFmtId="164" fontId="20" fillId="0" borderId="1" xfId="0" applyNumberFormat="1" applyFont="1" applyFill="1" applyBorder="1" applyAlignment="1">
      <alignment horizontal="center"/>
    </xf>
    <xf numFmtId="164" fontId="25" fillId="0" borderId="1" xfId="0" applyNumberFormat="1" applyFont="1" applyFill="1" applyBorder="1" applyAlignment="1">
      <alignment horizontal="center"/>
    </xf>
    <xf numFmtId="0" fontId="22" fillId="2" borderId="2" xfId="1" applyFont="1" applyBorder="1" applyAlignment="1">
      <alignment horizontal="center"/>
    </xf>
    <xf numFmtId="0" fontId="22" fillId="2" borderId="6" xfId="1" applyFont="1" applyBorder="1" applyAlignment="1">
      <alignment horizontal="center"/>
    </xf>
    <xf numFmtId="0" fontId="22" fillId="2" borderId="1" xfId="1" applyFont="1" applyBorder="1" applyAlignment="1">
      <alignment horizontal="center"/>
    </xf>
    <xf numFmtId="0" fontId="21" fillId="0" borderId="1" xfId="3" applyFont="1" applyFill="1" applyBorder="1" applyAlignment="1">
      <alignment horizontal="center"/>
    </xf>
    <xf numFmtId="0" fontId="24" fillId="0" borderId="1" xfId="1" applyFont="1" applyFill="1" applyBorder="1" applyAlignment="1">
      <alignment horizontal="center"/>
    </xf>
    <xf numFmtId="0" fontId="20" fillId="0" borderId="0" xfId="0" applyFont="1" applyFill="1" applyBorder="1"/>
    <xf numFmtId="0" fontId="26" fillId="3" borderId="2" xfId="2" applyFont="1" applyBorder="1" applyAlignment="1">
      <alignment horizontal="center"/>
    </xf>
    <xf numFmtId="0" fontId="26" fillId="3" borderId="6" xfId="2" applyFont="1" applyBorder="1" applyAlignment="1">
      <alignment horizontal="center"/>
    </xf>
    <xf numFmtId="0" fontId="26" fillId="3" borderId="1" xfId="2" applyFont="1" applyBorder="1" applyAlignment="1">
      <alignment horizontal="center"/>
    </xf>
    <xf numFmtId="0" fontId="26" fillId="3" borderId="1" xfId="2" applyFont="1" applyBorder="1" applyAlignment="1">
      <alignment horizontal="center" textRotation="90"/>
    </xf>
    <xf numFmtId="0" fontId="21" fillId="0" borderId="0" xfId="3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9" fillId="4" borderId="1" xfId="4" applyFont="1" applyBorder="1" applyAlignment="1">
      <alignment horizontal="center"/>
    </xf>
    <xf numFmtId="0" fontId="20" fillId="0" borderId="3" xfId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0" xfId="2" applyFont="1" applyFill="1" applyBorder="1" applyAlignment="1">
      <alignment horizontal="center"/>
    </xf>
    <xf numFmtId="0" fontId="21" fillId="0" borderId="0" xfId="3" applyFont="1" applyFill="1" applyBorder="1"/>
    <xf numFmtId="165" fontId="21" fillId="0" borderId="0" xfId="3" applyNumberFormat="1" applyFont="1" applyFill="1"/>
    <xf numFmtId="9" fontId="9" fillId="0" borderId="0" xfId="8" applyNumberFormat="1" applyFont="1" applyFill="1"/>
    <xf numFmtId="9" fontId="9" fillId="0" borderId="0" xfId="9" applyNumberFormat="1" applyFont="1" applyFill="1"/>
    <xf numFmtId="0" fontId="6" fillId="0" borderId="0" xfId="0" applyFont="1"/>
    <xf numFmtId="0" fontId="7" fillId="0" borderId="1" xfId="3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7" fillId="10" borderId="0" xfId="0" applyFont="1" applyFill="1"/>
    <xf numFmtId="0" fontId="7" fillId="10" borderId="0" xfId="0" applyFont="1" applyFill="1" applyAlignment="1">
      <alignment horizontal="center"/>
    </xf>
    <xf numFmtId="0" fontId="7" fillId="10" borderId="0" xfId="3" applyFont="1" applyFill="1"/>
    <xf numFmtId="0" fontId="7" fillId="0" borderId="0" xfId="0" applyFont="1" applyFill="1"/>
    <xf numFmtId="0" fontId="7" fillId="0" borderId="0" xfId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7" fillId="0" borderId="0" xfId="3" applyFont="1" applyFill="1" applyBorder="1"/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6" xfId="3" applyFont="1" applyFill="1" applyBorder="1" applyAlignment="1">
      <alignment horizontal="center"/>
    </xf>
    <xf numFmtId="0" fontId="9" fillId="0" borderId="1" xfId="3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/>
    </xf>
    <xf numFmtId="0" fontId="7" fillId="0" borderId="3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3" applyFont="1" applyFill="1" applyAlignment="1">
      <alignment horizontal="center"/>
    </xf>
    <xf numFmtId="0" fontId="9" fillId="0" borderId="3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right"/>
    </xf>
    <xf numFmtId="9" fontId="7" fillId="0" borderId="1" xfId="1" applyNumberFormat="1" applyFont="1" applyFill="1" applyBorder="1" applyAlignment="1">
      <alignment horizontal="center"/>
    </xf>
    <xf numFmtId="9" fontId="9" fillId="0" borderId="1" xfId="0" applyNumberFormat="1" applyFont="1" applyFill="1" applyBorder="1" applyAlignment="1">
      <alignment horizontal="center"/>
    </xf>
    <xf numFmtId="9" fontId="7" fillId="0" borderId="1" xfId="2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/>
    </xf>
    <xf numFmtId="164" fontId="9" fillId="0" borderId="1" xfId="1" applyNumberFormat="1" applyFont="1" applyFill="1" applyBorder="1" applyAlignment="1">
      <alignment horizontal="center"/>
    </xf>
    <xf numFmtId="164" fontId="7" fillId="0" borderId="1" xfId="2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28" fillId="3" borderId="2" xfId="2" applyFont="1" applyBorder="1" applyAlignment="1">
      <alignment horizontal="center"/>
    </xf>
    <xf numFmtId="0" fontId="28" fillId="3" borderId="6" xfId="2" applyFont="1" applyBorder="1" applyAlignment="1">
      <alignment horizontal="center"/>
    </xf>
    <xf numFmtId="0" fontId="28" fillId="3" borderId="1" xfId="2" applyFont="1" applyBorder="1" applyAlignment="1">
      <alignment horizontal="center"/>
    </xf>
    <xf numFmtId="0" fontId="28" fillId="3" borderId="1" xfId="2" applyFont="1" applyBorder="1" applyAlignment="1">
      <alignment horizontal="center" textRotation="90"/>
    </xf>
    <xf numFmtId="0" fontId="9" fillId="0" borderId="6" xfId="3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32" fillId="0" borderId="1" xfId="1" applyFont="1" applyFill="1" applyBorder="1" applyAlignment="1">
      <alignment horizontal="center"/>
    </xf>
    <xf numFmtId="0" fontId="6" fillId="11" borderId="0" xfId="3" applyFont="1" applyFill="1"/>
    <xf numFmtId="9" fontId="7" fillId="11" borderId="0" xfId="8" applyNumberFormat="1" applyFont="1" applyFill="1"/>
    <xf numFmtId="0" fontId="7" fillId="11" borderId="0" xfId="3" applyFont="1" applyFill="1"/>
    <xf numFmtId="164" fontId="7" fillId="11" borderId="0" xfId="9" applyNumberFormat="1" applyFont="1" applyFill="1"/>
    <xf numFmtId="1" fontId="6" fillId="11" borderId="0" xfId="3" applyNumberFormat="1" applyFont="1" applyFill="1"/>
    <xf numFmtId="164" fontId="7" fillId="11" borderId="0" xfId="8" applyNumberFormat="1" applyFont="1" applyFill="1"/>
    <xf numFmtId="0" fontId="7" fillId="11" borderId="0" xfId="8" applyFont="1" applyFill="1"/>
    <xf numFmtId="9" fontId="7" fillId="11" borderId="0" xfId="7" applyNumberFormat="1" applyFont="1" applyFill="1"/>
    <xf numFmtId="0" fontId="7" fillId="13" borderId="0" xfId="2" applyFont="1" applyFill="1"/>
    <xf numFmtId="0" fontId="7" fillId="13" borderId="0" xfId="1" applyFont="1" applyFill="1"/>
    <xf numFmtId="0" fontId="7" fillId="13" borderId="0" xfId="4" applyFont="1" applyFill="1"/>
    <xf numFmtId="0" fontId="7" fillId="13" borderId="0" xfId="7" applyFont="1" applyFill="1"/>
    <xf numFmtId="0" fontId="7" fillId="13" borderId="0" xfId="8" applyFont="1" applyFill="1"/>
    <xf numFmtId="0" fontId="7" fillId="13" borderId="0" xfId="9" applyFont="1" applyFill="1"/>
    <xf numFmtId="9" fontId="7" fillId="13" borderId="0" xfId="8" applyNumberFormat="1" applyFont="1" applyFill="1"/>
    <xf numFmtId="9" fontId="7" fillId="13" borderId="0" xfId="7" applyNumberFormat="1" applyFont="1" applyFill="1"/>
    <xf numFmtId="9" fontId="7" fillId="13" borderId="0" xfId="9" applyNumberFormat="1" applyFont="1" applyFill="1"/>
    <xf numFmtId="0" fontId="33" fillId="13" borderId="0" xfId="8" applyFont="1" applyFill="1" applyAlignment="1">
      <alignment horizontal="right"/>
    </xf>
    <xf numFmtId="164" fontId="7" fillId="13" borderId="0" xfId="7" applyNumberFormat="1" applyFont="1" applyFill="1"/>
    <xf numFmtId="164" fontId="7" fillId="13" borderId="0" xfId="9" applyNumberFormat="1" applyFont="1" applyFill="1"/>
    <xf numFmtId="1" fontId="7" fillId="13" borderId="0" xfId="9" applyNumberFormat="1" applyFont="1" applyFill="1"/>
    <xf numFmtId="1" fontId="7" fillId="13" borderId="0" xfId="7" applyNumberFormat="1" applyFont="1" applyFill="1"/>
    <xf numFmtId="1" fontId="7" fillId="13" borderId="0" xfId="8" applyNumberFormat="1" applyFont="1" applyFill="1"/>
    <xf numFmtId="164" fontId="7" fillId="13" borderId="0" xfId="8" applyNumberFormat="1" applyFont="1" applyFill="1"/>
    <xf numFmtId="9" fontId="9" fillId="13" borderId="0" xfId="7" applyNumberFormat="1" applyFont="1" applyFill="1"/>
    <xf numFmtId="0" fontId="7" fillId="13" borderId="0" xfId="3" applyFont="1" applyFill="1" applyAlignment="1"/>
    <xf numFmtId="0" fontId="7" fillId="13" borderId="0" xfId="3" applyFont="1" applyFill="1"/>
    <xf numFmtId="9" fontId="9" fillId="13" borderId="0" xfId="8" applyNumberFormat="1" applyFont="1" applyFill="1"/>
    <xf numFmtId="9" fontId="9" fillId="13" borderId="0" xfId="9" applyNumberFormat="1" applyFont="1" applyFill="1"/>
    <xf numFmtId="0" fontId="20" fillId="0" borderId="1" xfId="3" applyFont="1" applyFill="1" applyBorder="1" applyAlignment="1">
      <alignment horizontal="center"/>
    </xf>
    <xf numFmtId="0" fontId="7" fillId="14" borderId="0" xfId="3" applyFont="1" applyFill="1"/>
    <xf numFmtId="0" fontId="7" fillId="14" borderId="0" xfId="8" applyFont="1" applyFill="1"/>
    <xf numFmtId="9" fontId="7" fillId="14" borderId="0" xfId="8" applyNumberFormat="1" applyFont="1" applyFill="1"/>
    <xf numFmtId="9" fontId="7" fillId="14" borderId="0" xfId="7" applyNumberFormat="1" applyFont="1" applyFill="1"/>
    <xf numFmtId="9" fontId="7" fillId="14" borderId="0" xfId="9" applyNumberFormat="1" applyFont="1" applyFill="1"/>
    <xf numFmtId="9" fontId="9" fillId="14" borderId="0" xfId="8" applyNumberFormat="1" applyFont="1" applyFill="1"/>
    <xf numFmtId="9" fontId="9" fillId="14" borderId="0" xfId="7" applyNumberFormat="1" applyFont="1" applyFill="1"/>
    <xf numFmtId="9" fontId="9" fillId="14" borderId="0" xfId="9" applyNumberFormat="1" applyFont="1" applyFill="1"/>
    <xf numFmtId="0" fontId="7" fillId="14" borderId="0" xfId="2" applyFont="1" applyFill="1"/>
    <xf numFmtId="0" fontId="7" fillId="14" borderId="0" xfId="1" applyFont="1" applyFill="1"/>
    <xf numFmtId="0" fontId="7" fillId="14" borderId="0" xfId="4" applyFont="1" applyFill="1"/>
    <xf numFmtId="0" fontId="7" fillId="14" borderId="0" xfId="7" applyFont="1" applyFill="1"/>
    <xf numFmtId="0" fontId="7" fillId="14" borderId="0" xfId="9" applyFont="1" applyFill="1"/>
    <xf numFmtId="164" fontId="7" fillId="14" borderId="0" xfId="9" applyNumberFormat="1" applyFont="1" applyFill="1"/>
    <xf numFmtId="1" fontId="7" fillId="14" borderId="0" xfId="9" applyNumberFormat="1" applyFont="1" applyFill="1"/>
    <xf numFmtId="1" fontId="7" fillId="14" borderId="0" xfId="7" applyNumberFormat="1" applyFont="1" applyFill="1"/>
    <xf numFmtId="1" fontId="7" fillId="14" borderId="0" xfId="8" applyNumberFormat="1" applyFont="1" applyFill="1"/>
    <xf numFmtId="164" fontId="7" fillId="14" borderId="0" xfId="8" applyNumberFormat="1" applyFont="1" applyFill="1"/>
    <xf numFmtId="164" fontId="7" fillId="14" borderId="0" xfId="7" applyNumberFormat="1" applyFont="1" applyFill="1"/>
    <xf numFmtId="0" fontId="7" fillId="14" borderId="0" xfId="3" applyFont="1" applyFill="1" applyAlignment="1"/>
    <xf numFmtId="0" fontId="7" fillId="15" borderId="0" xfId="3" applyFont="1" applyFill="1"/>
    <xf numFmtId="0" fontId="7" fillId="15" borderId="0" xfId="8" applyFont="1" applyFill="1"/>
    <xf numFmtId="9" fontId="7" fillId="15" borderId="0" xfId="8" applyNumberFormat="1" applyFont="1" applyFill="1"/>
    <xf numFmtId="9" fontId="7" fillId="15" borderId="0" xfId="7" applyNumberFormat="1" applyFont="1" applyFill="1"/>
    <xf numFmtId="9" fontId="7" fillId="15" borderId="0" xfId="9" applyNumberFormat="1" applyFont="1" applyFill="1"/>
    <xf numFmtId="9" fontId="9" fillId="15" borderId="0" xfId="7" applyNumberFormat="1" applyFont="1" applyFill="1"/>
    <xf numFmtId="9" fontId="9" fillId="15" borderId="0" xfId="9" applyNumberFormat="1" applyFont="1" applyFill="1"/>
    <xf numFmtId="0" fontId="7" fillId="15" borderId="0" xfId="2" applyFont="1" applyFill="1"/>
    <xf numFmtId="0" fontId="7" fillId="15" borderId="0" xfId="1" applyFont="1" applyFill="1"/>
    <xf numFmtId="0" fontId="7" fillId="15" borderId="0" xfId="4" applyFont="1" applyFill="1"/>
    <xf numFmtId="0" fontId="7" fillId="15" borderId="0" xfId="7" applyFont="1" applyFill="1"/>
    <xf numFmtId="0" fontId="7" fillId="15" borderId="0" xfId="9" applyFont="1" applyFill="1"/>
    <xf numFmtId="0" fontId="7" fillId="15" borderId="0" xfId="8" applyFont="1" applyFill="1" applyAlignment="1">
      <alignment horizontal="right"/>
    </xf>
    <xf numFmtId="164" fontId="7" fillId="15" borderId="0" xfId="9" applyNumberFormat="1" applyFont="1" applyFill="1"/>
    <xf numFmtId="1" fontId="7" fillId="15" borderId="0" xfId="9" applyNumberFormat="1" applyFont="1" applyFill="1"/>
    <xf numFmtId="1" fontId="7" fillId="15" borderId="0" xfId="7" applyNumberFormat="1" applyFont="1" applyFill="1"/>
    <xf numFmtId="1" fontId="7" fillId="15" borderId="0" xfId="8" applyNumberFormat="1" applyFont="1" applyFill="1"/>
    <xf numFmtId="164" fontId="7" fillId="15" borderId="0" xfId="8" applyNumberFormat="1" applyFont="1" applyFill="1"/>
    <xf numFmtId="164" fontId="7" fillId="15" borderId="0" xfId="7" applyNumberFormat="1" applyFont="1" applyFill="1"/>
    <xf numFmtId="0" fontId="7" fillId="15" borderId="0" xfId="3" applyFont="1" applyFill="1" applyAlignment="1"/>
    <xf numFmtId="0" fontId="7" fillId="13" borderId="0" xfId="7" applyFont="1" applyFill="1" applyAlignment="1">
      <alignment horizontal="right"/>
    </xf>
    <xf numFmtId="0" fontId="7" fillId="13" borderId="0" xfId="9" applyFont="1" applyFill="1" applyAlignment="1">
      <alignment horizontal="right"/>
    </xf>
    <xf numFmtId="0" fontId="7" fillId="15" borderId="0" xfId="7" applyFont="1" applyFill="1" applyAlignment="1">
      <alignment horizontal="right"/>
    </xf>
    <xf numFmtId="0" fontId="7" fillId="15" borderId="0" xfId="9" applyFont="1" applyFill="1" applyAlignment="1">
      <alignment horizontal="right"/>
    </xf>
    <xf numFmtId="0" fontId="8" fillId="0" borderId="0" xfId="3" applyFont="1" applyFill="1" applyAlignment="1">
      <alignment horizontal="center"/>
    </xf>
    <xf numFmtId="0" fontId="7" fillId="6" borderId="0" xfId="3" applyFont="1" applyFill="1" applyAlignment="1">
      <alignment horizontal="center"/>
    </xf>
    <xf numFmtId="0" fontId="7" fillId="0" borderId="0" xfId="8" applyFont="1" applyFill="1" applyAlignment="1">
      <alignment horizontal="center"/>
    </xf>
    <xf numFmtId="9" fontId="7" fillId="0" borderId="0" xfId="8" applyNumberFormat="1" applyFont="1" applyFill="1" applyAlignment="1">
      <alignment horizontal="center"/>
    </xf>
    <xf numFmtId="0" fontId="13" fillId="0" borderId="0" xfId="3" applyFont="1" applyFill="1" applyAlignment="1">
      <alignment horizontal="center"/>
    </xf>
    <xf numFmtId="0" fontId="6" fillId="6" borderId="0" xfId="3" applyFont="1" applyFill="1" applyAlignment="1">
      <alignment horizontal="center"/>
    </xf>
    <xf numFmtId="0" fontId="7" fillId="14" borderId="0" xfId="7" applyFont="1" applyFill="1" applyAlignment="1">
      <alignment horizontal="right"/>
    </xf>
    <xf numFmtId="0" fontId="7" fillId="14" borderId="0" xfId="9" applyFont="1" applyFill="1" applyAlignment="1">
      <alignment horizontal="right"/>
    </xf>
    <xf numFmtId="9" fontId="35" fillId="2" borderId="0" xfId="8" applyNumberFormat="1" applyFont="1"/>
    <xf numFmtId="9" fontId="36" fillId="4" borderId="0" xfId="7" applyNumberFormat="1" applyFont="1"/>
    <xf numFmtId="0" fontId="37" fillId="0" borderId="0" xfId="0" applyFont="1"/>
    <xf numFmtId="0" fontId="38" fillId="0" borderId="0" xfId="3" applyFont="1" applyFill="1"/>
    <xf numFmtId="0" fontId="38" fillId="0" borderId="0" xfId="8" applyFont="1" applyFill="1" applyBorder="1"/>
    <xf numFmtId="0" fontId="38" fillId="0" borderId="0" xfId="7" applyFont="1" applyFill="1" applyBorder="1" applyAlignment="1">
      <alignment horizontal="right"/>
    </xf>
    <xf numFmtId="0" fontId="38" fillId="0" borderId="0" xfId="9" applyFont="1" applyFill="1" applyBorder="1" applyAlignment="1">
      <alignment horizontal="right"/>
    </xf>
    <xf numFmtId="0" fontId="38" fillId="18" borderId="0" xfId="3" applyFont="1" applyFill="1" applyBorder="1"/>
    <xf numFmtId="1" fontId="38" fillId="0" borderId="0" xfId="8" applyNumberFormat="1" applyFont="1" applyFill="1" applyBorder="1"/>
    <xf numFmtId="0" fontId="38" fillId="0" borderId="0" xfId="7" applyFont="1" applyFill="1" applyBorder="1"/>
    <xf numFmtId="0" fontId="38" fillId="6" borderId="0" xfId="3" applyFont="1" applyFill="1"/>
    <xf numFmtId="9" fontId="40" fillId="0" borderId="0" xfId="7" applyNumberFormat="1" applyFont="1" applyFill="1"/>
    <xf numFmtId="1" fontId="39" fillId="3" borderId="0" xfId="9" applyNumberFormat="1" applyFont="1" applyBorder="1"/>
    <xf numFmtId="164" fontId="39" fillId="3" borderId="0" xfId="9" applyNumberFormat="1" applyFont="1" applyBorder="1"/>
    <xf numFmtId="9" fontId="39" fillId="3" borderId="0" xfId="9" applyNumberFormat="1" applyFont="1" applyBorder="1"/>
    <xf numFmtId="9" fontId="39" fillId="2" borderId="0" xfId="8" applyNumberFormat="1" applyFont="1" applyBorder="1"/>
    <xf numFmtId="9" fontId="39" fillId="4" borderId="0" xfId="7" applyNumberFormat="1" applyFont="1" applyBorder="1"/>
    <xf numFmtId="164" fontId="39" fillId="4" borderId="0" xfId="7" applyNumberFormat="1" applyFont="1" applyBorder="1"/>
    <xf numFmtId="0" fontId="7" fillId="13" borderId="0" xfId="3" quotePrefix="1" applyFont="1" applyFill="1" applyAlignment="1">
      <alignment horizontal="right"/>
    </xf>
    <xf numFmtId="0" fontId="26" fillId="3" borderId="4" xfId="2" applyFont="1" applyBorder="1" applyAlignment="1">
      <alignment horizontal="center"/>
    </xf>
    <xf numFmtId="0" fontId="22" fillId="2" borderId="4" xfId="1" applyFont="1" applyBorder="1" applyAlignment="1">
      <alignment horizontal="center"/>
    </xf>
    <xf numFmtId="0" fontId="25" fillId="0" borderId="0" xfId="3" applyFont="1" applyFill="1"/>
    <xf numFmtId="0" fontId="20" fillId="9" borderId="0" xfId="3" applyFont="1" applyFill="1" applyBorder="1"/>
    <xf numFmtId="0" fontId="20" fillId="9" borderId="0" xfId="3" applyFont="1" applyFill="1"/>
    <xf numFmtId="0" fontId="20" fillId="9" borderId="0" xfId="3" applyFont="1" applyFill="1" applyBorder="1" applyAlignment="1">
      <alignment horizontal="center"/>
    </xf>
    <xf numFmtId="0" fontId="20" fillId="0" borderId="0" xfId="3" applyFont="1" applyFill="1"/>
    <xf numFmtId="0" fontId="20" fillId="9" borderId="0" xfId="3" applyFont="1" applyFill="1" applyBorder="1" applyAlignment="1">
      <alignment textRotation="90"/>
    </xf>
    <xf numFmtId="0" fontId="20" fillId="9" borderId="0" xfId="3" applyFont="1" applyFill="1" applyBorder="1" applyAlignment="1">
      <alignment horizontal="center" textRotation="90"/>
    </xf>
    <xf numFmtId="0" fontId="20" fillId="0" borderId="0" xfId="3" applyFont="1" applyFill="1" applyBorder="1" applyAlignment="1">
      <alignment textRotation="90"/>
    </xf>
    <xf numFmtId="0" fontId="20" fillId="0" borderId="0" xfId="3" applyFont="1" applyFill="1" applyAlignment="1">
      <alignment textRotation="90"/>
    </xf>
    <xf numFmtId="0" fontId="25" fillId="9" borderId="0" xfId="3" applyFont="1" applyFill="1" applyBorder="1" applyAlignment="1">
      <alignment horizontal="center"/>
    </xf>
    <xf numFmtId="0" fontId="25" fillId="0" borderId="1" xfId="3" applyFont="1" applyFill="1" applyBorder="1" applyAlignment="1">
      <alignment horizontal="center"/>
    </xf>
    <xf numFmtId="165" fontId="20" fillId="0" borderId="0" xfId="3" applyNumberFormat="1" applyFont="1" applyFill="1" applyAlignment="1">
      <alignment horizontal="center"/>
    </xf>
    <xf numFmtId="0" fontId="25" fillId="0" borderId="6" xfId="3" applyFont="1" applyFill="1" applyBorder="1" applyAlignment="1">
      <alignment horizontal="center"/>
    </xf>
    <xf numFmtId="0" fontId="20" fillId="0" borderId="0" xfId="3" applyFont="1" applyFill="1" applyAlignment="1">
      <alignment horizontal="center"/>
    </xf>
    <xf numFmtId="0" fontId="25" fillId="9" borderId="0" xfId="3" applyFont="1" applyFill="1"/>
    <xf numFmtId="0" fontId="20" fillId="9" borderId="0" xfId="3" applyFont="1" applyFill="1" applyAlignment="1">
      <alignment textRotation="90"/>
    </xf>
    <xf numFmtId="0" fontId="1" fillId="2" borderId="2" xfId="1" applyFont="1" applyBorder="1" applyAlignment="1">
      <alignment horizontal="center"/>
    </xf>
    <xf numFmtId="0" fontId="1" fillId="2" borderId="6" xfId="1" applyFont="1" applyBorder="1" applyAlignment="1">
      <alignment horizontal="center"/>
    </xf>
    <xf numFmtId="0" fontId="1" fillId="2" borderId="1" xfId="1" applyFont="1" applyBorder="1" applyAlignment="1">
      <alignment horizontal="center"/>
    </xf>
    <xf numFmtId="0" fontId="1" fillId="2" borderId="4" xfId="1" applyFont="1" applyBorder="1" applyAlignment="1">
      <alignment horizontal="center"/>
    </xf>
    <xf numFmtId="0" fontId="1" fillId="2" borderId="1" xfId="1" applyFont="1" applyBorder="1" applyAlignment="1">
      <alignment horizontal="center" textRotation="90"/>
    </xf>
    <xf numFmtId="0" fontId="5" fillId="19" borderId="1" xfId="14" applyBorder="1" applyAlignment="1">
      <alignment horizontal="center"/>
    </xf>
    <xf numFmtId="164" fontId="6" fillId="11" borderId="0" xfId="3" applyNumberFormat="1" applyFont="1" applyFill="1"/>
    <xf numFmtId="0" fontId="7" fillId="20" borderId="0" xfId="4" applyFont="1" applyFill="1"/>
    <xf numFmtId="0" fontId="7" fillId="20" borderId="0" xfId="8" applyFont="1" applyFill="1"/>
    <xf numFmtId="0" fontId="7" fillId="20" borderId="0" xfId="7" applyFont="1" applyFill="1"/>
    <xf numFmtId="164" fontId="7" fillId="20" borderId="0" xfId="9" applyNumberFormat="1" applyFont="1" applyFill="1"/>
    <xf numFmtId="1" fontId="7" fillId="20" borderId="0" xfId="8" applyNumberFormat="1" applyFont="1" applyFill="1"/>
    <xf numFmtId="164" fontId="7" fillId="20" borderId="0" xfId="8" applyNumberFormat="1" applyFont="1" applyFill="1"/>
    <xf numFmtId="9" fontId="7" fillId="20" borderId="0" xfId="8" applyNumberFormat="1" applyFont="1" applyFill="1"/>
    <xf numFmtId="9" fontId="7" fillId="20" borderId="0" xfId="7" applyNumberFormat="1" applyFont="1" applyFill="1"/>
    <xf numFmtId="0" fontId="7" fillId="20" borderId="0" xfId="9" applyFont="1" applyFill="1"/>
    <xf numFmtId="9" fontId="9" fillId="20" borderId="0" xfId="7" applyNumberFormat="1" applyFont="1" applyFill="1"/>
    <xf numFmtId="0" fontId="7" fillId="20" borderId="0" xfId="3" applyFont="1" applyFill="1" applyAlignment="1"/>
    <xf numFmtId="0" fontId="7" fillId="21" borderId="0" xfId="4" applyFont="1" applyFill="1"/>
    <xf numFmtId="0" fontId="7" fillId="21" borderId="0" xfId="8" applyFont="1" applyFill="1"/>
    <xf numFmtId="0" fontId="7" fillId="21" borderId="0" xfId="7" applyFont="1" applyFill="1"/>
    <xf numFmtId="164" fontId="7" fillId="21" borderId="0" xfId="9" applyNumberFormat="1" applyFont="1" applyFill="1"/>
    <xf numFmtId="1" fontId="7" fillId="21" borderId="0" xfId="8" applyNumberFormat="1" applyFont="1" applyFill="1"/>
    <xf numFmtId="164" fontId="7" fillId="21" borderId="0" xfId="8" applyNumberFormat="1" applyFont="1" applyFill="1"/>
    <xf numFmtId="9" fontId="7" fillId="21" borderId="0" xfId="8" applyNumberFormat="1" applyFont="1" applyFill="1"/>
    <xf numFmtId="9" fontId="7" fillId="21" borderId="0" xfId="7" applyNumberFormat="1" applyFont="1" applyFill="1"/>
    <xf numFmtId="0" fontId="7" fillId="21" borderId="0" xfId="9" applyFont="1" applyFill="1"/>
    <xf numFmtId="9" fontId="9" fillId="21" borderId="0" xfId="7" applyNumberFormat="1" applyFont="1" applyFill="1"/>
    <xf numFmtId="0" fontId="7" fillId="21" borderId="0" xfId="3" applyFont="1" applyFill="1" applyAlignment="1"/>
    <xf numFmtId="9" fontId="7" fillId="23" borderId="0" xfId="7" applyNumberFormat="1" applyFont="1" applyFill="1"/>
    <xf numFmtId="164" fontId="32" fillId="0" borderId="0" xfId="9" applyNumberFormat="1" applyFont="1" applyFill="1"/>
    <xf numFmtId="164" fontId="32" fillId="0" borderId="0" xfId="8" applyNumberFormat="1" applyFont="1" applyFill="1"/>
    <xf numFmtId="9" fontId="7" fillId="28" borderId="0" xfId="7" applyNumberFormat="1" applyFont="1" applyFill="1"/>
    <xf numFmtId="0" fontId="7" fillId="23" borderId="0" xfId="4" applyFont="1" applyFill="1"/>
    <xf numFmtId="0" fontId="7" fillId="23" borderId="0" xfId="8" applyFont="1" applyFill="1"/>
    <xf numFmtId="0" fontId="7" fillId="23" borderId="0" xfId="7" applyFont="1" applyFill="1"/>
    <xf numFmtId="164" fontId="7" fillId="23" borderId="0" xfId="9" applyNumberFormat="1" applyFont="1" applyFill="1"/>
    <xf numFmtId="1" fontId="7" fillId="23" borderId="0" xfId="8" applyNumberFormat="1" applyFont="1" applyFill="1"/>
    <xf numFmtId="164" fontId="7" fillId="23" borderId="0" xfId="8" applyNumberFormat="1" applyFont="1" applyFill="1"/>
    <xf numFmtId="9" fontId="7" fillId="23" borderId="0" xfId="8" applyNumberFormat="1" applyFont="1" applyFill="1"/>
    <xf numFmtId="0" fontId="7" fillId="23" borderId="0" xfId="9" applyFont="1" applyFill="1"/>
    <xf numFmtId="9" fontId="9" fillId="23" borderId="0" xfId="7" applyNumberFormat="1" applyFont="1" applyFill="1"/>
    <xf numFmtId="0" fontId="7" fillId="23" borderId="0" xfId="3" applyFont="1" applyFill="1" applyAlignment="1"/>
    <xf numFmtId="0" fontId="7" fillId="28" borderId="0" xfId="4" applyFont="1" applyFill="1"/>
    <xf numFmtId="0" fontId="7" fillId="28" borderId="0" xfId="8" applyFont="1" applyFill="1"/>
    <xf numFmtId="0" fontId="7" fillId="28" borderId="0" xfId="7" applyFont="1" applyFill="1"/>
    <xf numFmtId="164" fontId="7" fillId="28" borderId="0" xfId="9" applyNumberFormat="1" applyFont="1" applyFill="1"/>
    <xf numFmtId="1" fontId="7" fillId="28" borderId="0" xfId="8" applyNumberFormat="1" applyFont="1" applyFill="1"/>
    <xf numFmtId="164" fontId="7" fillId="28" borderId="0" xfId="8" applyNumberFormat="1" applyFont="1" applyFill="1"/>
    <xf numFmtId="9" fontId="7" fillId="28" borderId="0" xfId="8" applyNumberFormat="1" applyFont="1" applyFill="1"/>
    <xf numFmtId="0" fontId="7" fillId="28" borderId="0" xfId="9" applyFont="1" applyFill="1"/>
    <xf numFmtId="9" fontId="9" fillId="28" borderId="0" xfId="7" applyNumberFormat="1" applyFont="1" applyFill="1"/>
    <xf numFmtId="0" fontId="7" fillId="28" borderId="0" xfId="3" applyFont="1" applyFill="1" applyAlignment="1"/>
    <xf numFmtId="0" fontId="7" fillId="30" borderId="0" xfId="4" applyFont="1" applyFill="1"/>
    <xf numFmtId="0" fontId="7" fillId="30" borderId="0" xfId="8" applyFont="1" applyFill="1"/>
    <xf numFmtId="0" fontId="7" fillId="30" borderId="0" xfId="7" applyFont="1" applyFill="1"/>
    <xf numFmtId="164" fontId="7" fillId="30" borderId="0" xfId="9" applyNumberFormat="1" applyFont="1" applyFill="1"/>
    <xf numFmtId="1" fontId="7" fillId="30" borderId="0" xfId="8" applyNumberFormat="1" applyFont="1" applyFill="1"/>
    <xf numFmtId="164" fontId="7" fillId="30" borderId="0" xfId="8" applyNumberFormat="1" applyFont="1" applyFill="1"/>
    <xf numFmtId="9" fontId="7" fillId="30" borderId="0" xfId="8" applyNumberFormat="1" applyFont="1" applyFill="1"/>
    <xf numFmtId="9" fontId="7" fillId="30" borderId="0" xfId="7" applyNumberFormat="1" applyFont="1" applyFill="1"/>
    <xf numFmtId="0" fontId="7" fillId="30" borderId="0" xfId="9" applyFont="1" applyFill="1"/>
    <xf numFmtId="9" fontId="9" fillId="30" borderId="0" xfId="7" applyNumberFormat="1" applyFont="1" applyFill="1"/>
    <xf numFmtId="0" fontId="7" fillId="30" borderId="0" xfId="3" applyFont="1" applyFill="1" applyAlignment="1"/>
    <xf numFmtId="0" fontId="7" fillId="0" borderId="0" xfId="4" applyFont="1" applyFill="1" applyAlignment="1">
      <alignment textRotation="90"/>
    </xf>
    <xf numFmtId="0" fontId="7" fillId="15" borderId="0" xfId="4" applyFont="1" applyFill="1" applyAlignment="1">
      <alignment textRotation="90"/>
    </xf>
    <xf numFmtId="0" fontId="7" fillId="13" borderId="0" xfId="4" applyFont="1" applyFill="1" applyAlignment="1">
      <alignment textRotation="90"/>
    </xf>
    <xf numFmtId="0" fontId="7" fillId="14" borderId="0" xfId="4" applyFont="1" applyFill="1" applyAlignment="1">
      <alignment textRotation="90"/>
    </xf>
    <xf numFmtId="9" fontId="13" fillId="0" borderId="0" xfId="3" applyNumberFormat="1" applyFont="1" applyFill="1"/>
    <xf numFmtId="9" fontId="42" fillId="4" borderId="0" xfId="7" applyNumberFormat="1" applyFont="1"/>
    <xf numFmtId="9" fontId="43" fillId="2" borderId="0" xfId="8" applyNumberFormat="1" applyFont="1"/>
    <xf numFmtId="9" fontId="9" fillId="11" borderId="0" xfId="8" applyNumberFormat="1" applyFont="1" applyFill="1"/>
    <xf numFmtId="164" fontId="9" fillId="0" borderId="0" xfId="7" applyNumberFormat="1" applyFont="1" applyFill="1"/>
    <xf numFmtId="164" fontId="9" fillId="0" borderId="0" xfId="8" applyNumberFormat="1" applyFont="1" applyFill="1"/>
    <xf numFmtId="164" fontId="9" fillId="0" borderId="0" xfId="9" applyNumberFormat="1" applyFont="1" applyFill="1"/>
    <xf numFmtId="166" fontId="13" fillId="0" borderId="0" xfId="6" applyNumberFormat="1" applyFont="1" applyFill="1"/>
    <xf numFmtId="164" fontId="41" fillId="2" borderId="0" xfId="8" applyNumberFormat="1" applyFont="1" applyBorder="1" applyAlignment="1">
      <alignment horizontal="right"/>
    </xf>
    <xf numFmtId="164" fontId="9" fillId="15" borderId="0" xfId="8" applyNumberFormat="1" applyFont="1" applyFill="1" applyAlignment="1">
      <alignment horizontal="right"/>
    </xf>
    <xf numFmtId="164" fontId="9" fillId="0" borderId="0" xfId="8" applyNumberFormat="1" applyFont="1" applyFill="1" applyAlignment="1">
      <alignment horizontal="right"/>
    </xf>
    <xf numFmtId="164" fontId="9" fillId="11" borderId="0" xfId="9" applyNumberFormat="1" applyFont="1" applyFill="1"/>
    <xf numFmtId="164" fontId="13" fillId="0" borderId="0" xfId="3" applyNumberFormat="1" applyFont="1" applyFill="1"/>
    <xf numFmtId="164" fontId="41" fillId="3" borderId="0" xfId="9" applyNumberFormat="1" applyFont="1" applyBorder="1"/>
    <xf numFmtId="164" fontId="9" fillId="13" borderId="0" xfId="8" applyNumberFormat="1" applyFont="1" applyFill="1"/>
    <xf numFmtId="164" fontId="9" fillId="14" borderId="0" xfId="8" applyNumberFormat="1" applyFont="1" applyFill="1"/>
    <xf numFmtId="9" fontId="41" fillId="17" borderId="0" xfId="9" applyNumberFormat="1" applyFont="1" applyFill="1" applyBorder="1"/>
    <xf numFmtId="9" fontId="9" fillId="15" borderId="0" xfId="8" applyNumberFormat="1" applyFont="1" applyFill="1"/>
    <xf numFmtId="9" fontId="41" fillId="16" borderId="0" xfId="8" applyNumberFormat="1" applyFont="1" applyFill="1" applyBorder="1"/>
    <xf numFmtId="164" fontId="9" fillId="0" borderId="0" xfId="8" applyNumberFormat="1" applyFont="1" applyFill="1" applyBorder="1"/>
    <xf numFmtId="164" fontId="9" fillId="0" borderId="0" xfId="8" applyNumberFormat="1" applyFont="1" applyFill="1" applyBorder="1" applyAlignment="1">
      <alignment horizontal="right"/>
    </xf>
    <xf numFmtId="0" fontId="9" fillId="0" borderId="0" xfId="3" applyFont="1" applyFill="1" applyAlignment="1">
      <alignment horizontal="right"/>
    </xf>
    <xf numFmtId="164" fontId="13" fillId="0" borderId="0" xfId="3" applyNumberFormat="1" applyFont="1" applyFill="1" applyAlignment="1">
      <alignment horizontal="right"/>
    </xf>
    <xf numFmtId="9" fontId="9" fillId="0" borderId="0" xfId="8" applyNumberFormat="1" applyFont="1" applyFill="1" applyAlignment="1">
      <alignment horizontal="right"/>
    </xf>
    <xf numFmtId="9" fontId="43" fillId="2" borderId="0" xfId="8" applyNumberFormat="1" applyFont="1" applyAlignment="1">
      <alignment horizontal="right"/>
    </xf>
    <xf numFmtId="9" fontId="9" fillId="21" borderId="0" xfId="9" applyNumberFormat="1" applyFont="1" applyFill="1"/>
    <xf numFmtId="9" fontId="9" fillId="20" borderId="0" xfId="9" applyNumberFormat="1" applyFont="1" applyFill="1"/>
    <xf numFmtId="9" fontId="9" fillId="23" borderId="0" xfId="9" applyNumberFormat="1" applyFont="1" applyFill="1"/>
    <xf numFmtId="9" fontId="9" fillId="30" borderId="0" xfId="9" applyNumberFormat="1" applyFont="1" applyFill="1"/>
    <xf numFmtId="9" fontId="9" fillId="28" borderId="0" xfId="9" applyNumberFormat="1" applyFont="1" applyFill="1"/>
    <xf numFmtId="9" fontId="13" fillId="0" borderId="0" xfId="3" applyNumberFormat="1" applyFont="1" applyFill="1" applyAlignment="1">
      <alignment horizontal="center"/>
    </xf>
    <xf numFmtId="164" fontId="41" fillId="17" borderId="0" xfId="9" applyNumberFormat="1" applyFont="1" applyFill="1" applyBorder="1"/>
    <xf numFmtId="164" fontId="9" fillId="15" borderId="0" xfId="9" applyNumberFormat="1" applyFont="1" applyFill="1"/>
    <xf numFmtId="0" fontId="44" fillId="13" borderId="0" xfId="8" applyFont="1" applyFill="1" applyAlignment="1">
      <alignment horizontal="right"/>
    </xf>
    <xf numFmtId="164" fontId="9" fillId="13" borderId="0" xfId="9" applyNumberFormat="1" applyFont="1" applyFill="1"/>
    <xf numFmtId="164" fontId="9" fillId="14" borderId="0" xfId="7" applyNumberFormat="1" applyFont="1" applyFill="1"/>
    <xf numFmtId="164" fontId="9" fillId="14" borderId="0" xfId="9" applyNumberFormat="1" applyFont="1" applyFill="1"/>
    <xf numFmtId="164" fontId="9" fillId="21" borderId="0" xfId="9" applyNumberFormat="1" applyFont="1" applyFill="1"/>
    <xf numFmtId="164" fontId="9" fillId="20" borderId="0" xfId="9" applyNumberFormat="1" applyFont="1" applyFill="1"/>
    <xf numFmtId="164" fontId="9" fillId="23" borderId="0" xfId="9" applyNumberFormat="1" applyFont="1" applyFill="1"/>
    <xf numFmtId="164" fontId="9" fillId="30" borderId="0" xfId="9" applyNumberFormat="1" applyFont="1" applyFill="1"/>
    <xf numFmtId="164" fontId="9" fillId="28" borderId="0" xfId="9" applyNumberFormat="1" applyFont="1" applyFill="1"/>
    <xf numFmtId="166" fontId="13" fillId="0" borderId="0" xfId="6" applyNumberFormat="1" applyFont="1" applyFill="1" applyAlignment="1">
      <alignment horizontal="center"/>
    </xf>
    <xf numFmtId="164" fontId="9" fillId="15" borderId="0" xfId="8" applyNumberFormat="1" applyFont="1" applyFill="1"/>
    <xf numFmtId="164" fontId="9" fillId="15" borderId="0" xfId="7" applyNumberFormat="1" applyFont="1" applyFill="1"/>
    <xf numFmtId="164" fontId="9" fillId="13" borderId="0" xfId="7" applyNumberFormat="1" applyFont="1" applyFill="1"/>
    <xf numFmtId="164" fontId="9" fillId="21" borderId="0" xfId="8" applyNumberFormat="1" applyFont="1" applyFill="1"/>
    <xf numFmtId="164" fontId="9" fillId="20" borderId="0" xfId="8" applyNumberFormat="1" applyFont="1" applyFill="1"/>
    <xf numFmtId="164" fontId="9" fillId="23" borderId="0" xfId="8" applyNumberFormat="1" applyFont="1" applyFill="1"/>
    <xf numFmtId="164" fontId="9" fillId="30" borderId="0" xfId="8" applyNumberFormat="1" applyFont="1" applyFill="1"/>
    <xf numFmtId="164" fontId="9" fillId="28" borderId="0" xfId="8" applyNumberFormat="1" applyFont="1" applyFill="1"/>
    <xf numFmtId="164" fontId="13" fillId="0" borderId="0" xfId="3" applyNumberFormat="1" applyFont="1" applyFill="1" applyAlignment="1">
      <alignment horizontal="center"/>
    </xf>
    <xf numFmtId="164" fontId="9" fillId="22" borderId="0" xfId="7" applyNumberFormat="1" applyFont="1" applyFill="1"/>
    <xf numFmtId="164" fontId="9" fillId="11" borderId="0" xfId="8" applyNumberFormat="1" applyFont="1" applyFill="1"/>
    <xf numFmtId="164" fontId="9" fillId="27" borderId="0" xfId="8" applyNumberFormat="1" applyFont="1" applyFill="1"/>
    <xf numFmtId="167" fontId="13" fillId="0" borderId="0" xfId="13" applyNumberFormat="1" applyFont="1" applyFill="1" applyAlignment="1">
      <alignment horizontal="center"/>
    </xf>
    <xf numFmtId="9" fontId="45" fillId="2" borderId="0" xfId="8" applyNumberFormat="1" applyFont="1"/>
    <xf numFmtId="9" fontId="9" fillId="24" borderId="0" xfId="7" applyNumberFormat="1" applyFont="1" applyFill="1"/>
    <xf numFmtId="9" fontId="9" fillId="22" borderId="0" xfId="7" applyNumberFormat="1" applyFont="1" applyFill="1"/>
    <xf numFmtId="9" fontId="9" fillId="21" borderId="0" xfId="5" applyFont="1" applyFill="1"/>
    <xf numFmtId="9" fontId="9" fillId="23" borderId="0" xfId="5" applyFont="1" applyFill="1"/>
    <xf numFmtId="9" fontId="9" fillId="30" borderId="0" xfId="5" applyFont="1" applyFill="1"/>
    <xf numFmtId="9" fontId="9" fillId="28" borderId="0" xfId="5" applyFont="1" applyFill="1"/>
    <xf numFmtId="9" fontId="9" fillId="22" borderId="0" xfId="8" applyNumberFormat="1" applyFont="1" applyFill="1"/>
    <xf numFmtId="9" fontId="9" fillId="27" borderId="0" xfId="9" applyNumberFormat="1" applyFont="1" applyFill="1"/>
    <xf numFmtId="9" fontId="9" fillId="11" borderId="0" xfId="7" applyNumberFormat="1" applyFont="1" applyFill="1"/>
    <xf numFmtId="9" fontId="9" fillId="25" borderId="0" xfId="7" applyNumberFormat="1" applyFont="1" applyFill="1"/>
    <xf numFmtId="9" fontId="9" fillId="25" borderId="0" xfId="9" applyNumberFormat="1" applyFont="1" applyFill="1"/>
    <xf numFmtId="9" fontId="9" fillId="20" borderId="0" xfId="8" applyNumberFormat="1" applyFont="1" applyFill="1"/>
    <xf numFmtId="9" fontId="9" fillId="29" borderId="0" xfId="8" applyNumberFormat="1" applyFont="1" applyFill="1"/>
    <xf numFmtId="9" fontId="9" fillId="23" borderId="0" xfId="8" applyNumberFormat="1" applyFont="1" applyFill="1"/>
    <xf numFmtId="9" fontId="9" fillId="30" borderId="0" xfId="8" applyNumberFormat="1" applyFont="1" applyFill="1"/>
    <xf numFmtId="9" fontId="9" fillId="28" borderId="0" xfId="8" applyNumberFormat="1" applyFont="1" applyFill="1"/>
    <xf numFmtId="9" fontId="9" fillId="21" borderId="0" xfId="8" applyNumberFormat="1" applyFont="1" applyFill="1"/>
    <xf numFmtId="9" fontId="9" fillId="26" borderId="0" xfId="8" applyNumberFormat="1" applyFont="1" applyFill="1"/>
    <xf numFmtId="164" fontId="44" fillId="0" borderId="0" xfId="8" applyNumberFormat="1" applyFont="1" applyFill="1" applyBorder="1" applyAlignment="1">
      <alignment horizontal="right"/>
    </xf>
    <xf numFmtId="164" fontId="9" fillId="24" borderId="0" xfId="8" applyNumberFormat="1" applyFont="1" applyFill="1" applyBorder="1"/>
    <xf numFmtId="164" fontId="44" fillId="13" borderId="0" xfId="8" applyNumberFormat="1" applyFont="1" applyFill="1" applyBorder="1" applyAlignment="1">
      <alignment horizontal="right"/>
    </xf>
    <xf numFmtId="164" fontId="44" fillId="14" borderId="0" xfId="8" applyNumberFormat="1" applyFont="1" applyFill="1" applyBorder="1" applyAlignment="1">
      <alignment horizontal="right"/>
    </xf>
    <xf numFmtId="164" fontId="9" fillId="21" borderId="0" xfId="8" applyNumberFormat="1" applyFont="1" applyFill="1" applyBorder="1" applyAlignment="1">
      <alignment horizontal="right"/>
    </xf>
    <xf numFmtId="164" fontId="44" fillId="28" borderId="0" xfId="8" applyNumberFormat="1" applyFont="1" applyFill="1" applyBorder="1" applyAlignment="1">
      <alignment horizontal="right"/>
    </xf>
    <xf numFmtId="9" fontId="44" fillId="0" borderId="0" xfId="8" applyNumberFormat="1" applyFont="1" applyFill="1" applyAlignment="1">
      <alignment horizontal="right"/>
    </xf>
    <xf numFmtId="9" fontId="9" fillId="21" borderId="0" xfId="5" applyFont="1" applyFill="1" applyBorder="1" applyAlignment="1">
      <alignment horizontal="right"/>
    </xf>
    <xf numFmtId="9" fontId="7" fillId="0" borderId="0" xfId="5" applyFont="1" applyFill="1"/>
    <xf numFmtId="0" fontId="7" fillId="0" borderId="2" xfId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9" fontId="6" fillId="0" borderId="1" xfId="5" applyFont="1" applyBorder="1" applyAlignment="1">
      <alignment horizontal="center" vertical="top"/>
    </xf>
    <xf numFmtId="9" fontId="6" fillId="6" borderId="1" xfId="5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top"/>
    </xf>
    <xf numFmtId="164" fontId="6" fillId="6" borderId="1" xfId="0" applyNumberFormat="1" applyFont="1" applyFill="1" applyBorder="1" applyAlignment="1">
      <alignment horizontal="center" vertical="top"/>
    </xf>
    <xf numFmtId="0" fontId="6" fillId="0" borderId="0" xfId="0" applyFont="1" applyBorder="1"/>
    <xf numFmtId="0" fontId="7" fillId="26" borderId="1" xfId="1" applyFont="1" applyFill="1" applyBorder="1" applyAlignment="1">
      <alignment horizontal="center"/>
    </xf>
    <xf numFmtId="0" fontId="7" fillId="25" borderId="1" xfId="1" applyFont="1" applyFill="1" applyBorder="1" applyAlignment="1">
      <alignment horizontal="center"/>
    </xf>
    <xf numFmtId="0" fontId="7" fillId="32" borderId="1" xfId="1" applyFont="1" applyFill="1" applyBorder="1" applyAlignment="1">
      <alignment horizontal="center"/>
    </xf>
    <xf numFmtId="0" fontId="7" fillId="31" borderId="1" xfId="0" applyFont="1" applyFill="1" applyBorder="1" applyAlignment="1">
      <alignment horizontal="center"/>
    </xf>
    <xf numFmtId="0" fontId="7" fillId="31" borderId="1" xfId="1" applyFont="1" applyFill="1" applyBorder="1" applyAlignment="1">
      <alignment horizontal="center"/>
    </xf>
    <xf numFmtId="0" fontId="7" fillId="25" borderId="1" xfId="0" applyFont="1" applyFill="1" applyBorder="1" applyAlignment="1">
      <alignment horizontal="center"/>
    </xf>
    <xf numFmtId="0" fontId="7" fillId="32" borderId="1" xfId="0" applyFont="1" applyFill="1" applyBorder="1" applyAlignment="1">
      <alignment horizontal="center"/>
    </xf>
    <xf numFmtId="0" fontId="7" fillId="32" borderId="1" xfId="3" applyFont="1" applyFill="1" applyBorder="1" applyAlignment="1">
      <alignment horizontal="center"/>
    </xf>
    <xf numFmtId="0" fontId="6" fillId="31" borderId="1" xfId="12" applyFont="1" applyFill="1" applyBorder="1" applyAlignment="1">
      <alignment horizontal="center"/>
    </xf>
    <xf numFmtId="0" fontId="6" fillId="32" borderId="1" xfId="12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top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0" fillId="0" borderId="0" xfId="0" applyFont="1" applyAlignment="1">
      <alignment horizontal="left" vertical="top"/>
    </xf>
    <xf numFmtId="9" fontId="10" fillId="0" borderId="0" xfId="5" applyFont="1" applyAlignment="1">
      <alignment horizontal="left" vertical="top"/>
    </xf>
    <xf numFmtId="164" fontId="10" fillId="0" borderId="0" xfId="0" applyNumberFormat="1" applyFont="1" applyAlignment="1">
      <alignment horizontal="left" vertical="top"/>
    </xf>
    <xf numFmtId="0" fontId="48" fillId="7" borderId="0" xfId="3" applyFont="1" applyFill="1"/>
    <xf numFmtId="164" fontId="8" fillId="0" borderId="0" xfId="9" applyNumberFormat="1" applyFont="1" applyFill="1"/>
    <xf numFmtId="9" fontId="8" fillId="0" borderId="0" xfId="5" applyFont="1" applyFill="1"/>
    <xf numFmtId="9" fontId="8" fillId="0" borderId="0" xfId="9" applyNumberFormat="1" applyFont="1" applyFill="1"/>
    <xf numFmtId="164" fontId="8" fillId="0" borderId="0" xfId="7" applyNumberFormat="1" applyFont="1" applyFill="1"/>
    <xf numFmtId="9" fontId="8" fillId="0" borderId="0" xfId="7" applyNumberFormat="1" applyFont="1" applyFill="1"/>
    <xf numFmtId="164" fontId="8" fillId="0" borderId="0" xfId="8" applyNumberFormat="1" applyFont="1" applyFill="1"/>
    <xf numFmtId="9" fontId="8" fillId="0" borderId="0" xfId="8" applyNumberFormat="1" applyFont="1" applyFill="1"/>
    <xf numFmtId="164" fontId="8" fillId="15" borderId="0" xfId="9" applyNumberFormat="1" applyFont="1" applyFill="1"/>
    <xf numFmtId="164" fontId="8" fillId="15" borderId="0" xfId="7" applyNumberFormat="1" applyFont="1" applyFill="1"/>
    <xf numFmtId="164" fontId="8" fillId="15" borderId="0" xfId="8" applyNumberFormat="1" applyFont="1" applyFill="1"/>
    <xf numFmtId="164" fontId="8" fillId="13" borderId="0" xfId="9" applyNumberFormat="1" applyFont="1" applyFill="1"/>
    <xf numFmtId="164" fontId="8" fillId="13" borderId="0" xfId="7" applyNumberFormat="1" applyFont="1" applyFill="1"/>
    <xf numFmtId="164" fontId="8" fillId="13" borderId="0" xfId="8" applyNumberFormat="1" applyFont="1" applyFill="1"/>
    <xf numFmtId="164" fontId="8" fillId="14" borderId="0" xfId="9" applyNumberFormat="1" applyFont="1" applyFill="1"/>
    <xf numFmtId="164" fontId="8" fillId="14" borderId="0" xfId="7" applyNumberFormat="1" applyFont="1" applyFill="1"/>
    <xf numFmtId="164" fontId="8" fillId="14" borderId="0" xfId="8" applyNumberFormat="1" applyFont="1" applyFill="1"/>
    <xf numFmtId="164" fontId="8" fillId="21" borderId="0" xfId="8" applyNumberFormat="1" applyFont="1" applyFill="1"/>
    <xf numFmtId="164" fontId="8" fillId="20" borderId="0" xfId="8" applyNumberFormat="1" applyFont="1" applyFill="1"/>
    <xf numFmtId="164" fontId="8" fillId="23" borderId="0" xfId="8" applyNumberFormat="1" applyFont="1" applyFill="1"/>
    <xf numFmtId="164" fontId="8" fillId="30" borderId="0" xfId="8" applyNumberFormat="1" applyFont="1" applyFill="1"/>
    <xf numFmtId="164" fontId="8" fillId="28" borderId="0" xfId="8" applyNumberFormat="1" applyFont="1" applyFill="1"/>
    <xf numFmtId="0" fontId="48" fillId="0" borderId="0" xfId="3" applyFont="1"/>
    <xf numFmtId="0" fontId="8" fillId="15" borderId="0" xfId="3" applyFont="1" applyFill="1"/>
    <xf numFmtId="0" fontId="8" fillId="13" borderId="0" xfId="3" applyFont="1" applyFill="1"/>
    <xf numFmtId="0" fontId="8" fillId="14" borderId="0" xfId="3" applyFont="1" applyFill="1"/>
    <xf numFmtId="0" fontId="8" fillId="6" borderId="0" xfId="3" applyFont="1" applyFill="1"/>
    <xf numFmtId="0" fontId="10" fillId="0" borderId="0" xfId="0" applyFont="1" applyAlignment="1">
      <alignment horizontal="left"/>
    </xf>
    <xf numFmtId="0" fontId="9" fillId="0" borderId="0" xfId="3" applyFont="1" applyFill="1" applyAlignment="1">
      <alignment horizontal="left"/>
    </xf>
    <xf numFmtId="9" fontId="0" fillId="0" borderId="0" xfId="5" applyFont="1"/>
    <xf numFmtId="0" fontId="28" fillId="3" borderId="4" xfId="2" applyFont="1" applyBorder="1" applyAlignment="1">
      <alignment horizontal="center"/>
    </xf>
    <xf numFmtId="0" fontId="34" fillId="2" borderId="2" xfId="8" applyFont="1" applyBorder="1" applyAlignment="1">
      <alignment horizontal="center"/>
    </xf>
    <xf numFmtId="0" fontId="34" fillId="2" borderId="6" xfId="8" applyFont="1" applyBorder="1" applyAlignment="1">
      <alignment horizontal="center"/>
    </xf>
    <xf numFmtId="0" fontId="34" fillId="2" borderId="1" xfId="8" applyFont="1" applyBorder="1" applyAlignment="1">
      <alignment horizontal="center"/>
    </xf>
    <xf numFmtId="0" fontId="34" fillId="2" borderId="4" xfId="8" applyFont="1" applyBorder="1" applyAlignment="1">
      <alignment horizontal="center"/>
    </xf>
    <xf numFmtId="0" fontId="34" fillId="2" borderId="2" xfId="8" applyFont="1" applyBorder="1" applyAlignment="1">
      <alignment horizontal="center" textRotation="90"/>
    </xf>
    <xf numFmtId="0" fontId="34" fillId="2" borderId="6" xfId="8" applyFont="1" applyBorder="1" applyAlignment="1">
      <alignment horizontal="center" textRotation="90"/>
    </xf>
    <xf numFmtId="0" fontId="34" fillId="2" borderId="1" xfId="8" applyFont="1" applyBorder="1" applyAlignment="1">
      <alignment horizontal="center" textRotation="90"/>
    </xf>
    <xf numFmtId="0" fontId="34" fillId="2" borderId="4" xfId="8" applyFont="1" applyBorder="1" applyAlignment="1">
      <alignment horizontal="center" textRotation="90"/>
    </xf>
    <xf numFmtId="0" fontId="21" fillId="0" borderId="12" xfId="3" applyFont="1" applyFill="1" applyBorder="1" applyAlignment="1">
      <alignment horizontal="center"/>
    </xf>
    <xf numFmtId="0" fontId="51" fillId="0" borderId="1" xfId="3" applyFont="1" applyFill="1" applyBorder="1" applyAlignment="1">
      <alignment horizontal="center"/>
    </xf>
    <xf numFmtId="0" fontId="28" fillId="3" borderId="10" xfId="2" applyFont="1" applyBorder="1" applyAlignment="1">
      <alignment horizontal="center"/>
    </xf>
    <xf numFmtId="0" fontId="28" fillId="3" borderId="8" xfId="2" applyFont="1" applyBorder="1" applyAlignment="1">
      <alignment horizontal="center"/>
    </xf>
    <xf numFmtId="0" fontId="28" fillId="3" borderId="13" xfId="2" applyFont="1" applyBorder="1" applyAlignment="1">
      <alignment horizontal="center"/>
    </xf>
    <xf numFmtId="0" fontId="28" fillId="3" borderId="0" xfId="2" applyFont="1" applyBorder="1" applyAlignment="1">
      <alignment horizontal="center"/>
    </xf>
    <xf numFmtId="0" fontId="21" fillId="0" borderId="6" xfId="3" applyFont="1" applyFill="1" applyBorder="1"/>
    <xf numFmtId="0" fontId="38" fillId="0" borderId="0" xfId="3" applyFont="1" applyFill="1" applyAlignment="1">
      <alignment textRotation="90"/>
    </xf>
    <xf numFmtId="0" fontId="11" fillId="4" borderId="1" xfId="7" applyBorder="1" applyAlignment="1">
      <alignment horizontal="center"/>
    </xf>
    <xf numFmtId="0" fontId="27" fillId="5" borderId="14" xfId="11" applyAlignment="1">
      <alignment horizontal="center"/>
    </xf>
    <xf numFmtId="0" fontId="20" fillId="0" borderId="0" xfId="0" applyFont="1"/>
    <xf numFmtId="0" fontId="20" fillId="0" borderId="0" xfId="3" applyFont="1"/>
    <xf numFmtId="9" fontId="38" fillId="0" borderId="0" xfId="8" applyNumberFormat="1" applyFont="1" applyFill="1"/>
    <xf numFmtId="9" fontId="41" fillId="2" borderId="0" xfId="8" applyNumberFormat="1" applyFont="1"/>
    <xf numFmtId="9" fontId="41" fillId="4" borderId="0" xfId="7" applyNumberFormat="1" applyFont="1"/>
    <xf numFmtId="164" fontId="38" fillId="0" borderId="0" xfId="8" applyNumberFormat="1" applyFont="1" applyFill="1" applyBorder="1"/>
    <xf numFmtId="164" fontId="42" fillId="4" borderId="0" xfId="7" applyNumberFormat="1" applyFont="1"/>
    <xf numFmtId="9" fontId="39" fillId="0" borderId="0" xfId="9" applyNumberFormat="1" applyFont="1" applyFill="1" applyBorder="1"/>
    <xf numFmtId="1" fontId="39" fillId="0" borderId="0" xfId="9" applyNumberFormat="1" applyFont="1" applyFill="1" applyBorder="1"/>
    <xf numFmtId="164" fontId="38" fillId="0" borderId="0" xfId="8" applyNumberFormat="1" applyFont="1" applyFill="1"/>
    <xf numFmtId="164" fontId="41" fillId="4" borderId="0" xfId="7" applyNumberFormat="1" applyFont="1" applyBorder="1"/>
    <xf numFmtId="0" fontId="7" fillId="0" borderId="0" xfId="4" applyFont="1" applyFill="1" applyAlignment="1">
      <alignment horizontal="center" textRotation="90"/>
    </xf>
    <xf numFmtId="0" fontId="7" fillId="0" borderId="0" xfId="1" applyFont="1" applyFill="1" applyAlignment="1">
      <alignment horizontal="center" textRotation="90"/>
    </xf>
    <xf numFmtId="0" fontId="8" fillId="0" borderId="0" xfId="3" applyFont="1" applyFill="1" applyAlignment="1">
      <alignment horizontal="center" textRotation="90"/>
    </xf>
    <xf numFmtId="0" fontId="7" fillId="0" borderId="0" xfId="2" applyFont="1" applyFill="1" applyAlignment="1">
      <alignment horizontal="center" textRotation="90"/>
    </xf>
    <xf numFmtId="0" fontId="7" fillId="0" borderId="0" xfId="3" applyFont="1" applyFill="1"/>
    <xf numFmtId="0" fontId="10" fillId="0" borderId="0" xfId="3" applyFont="1"/>
    <xf numFmtId="0" fontId="9" fillId="6" borderId="0" xfId="3" applyFont="1" applyFill="1"/>
    <xf numFmtId="9" fontId="9" fillId="0" borderId="0" xfId="7" applyNumberFormat="1" applyFont="1" applyFill="1"/>
    <xf numFmtId="0" fontId="7" fillId="6" borderId="0" xfId="3" applyFont="1" applyFill="1"/>
    <xf numFmtId="9" fontId="7" fillId="0" borderId="0" xfId="8" applyNumberFormat="1" applyFont="1" applyFill="1"/>
    <xf numFmtId="164" fontId="7" fillId="0" borderId="0" xfId="9" applyNumberFormat="1" applyFont="1" applyFill="1"/>
    <xf numFmtId="9" fontId="7" fillId="0" borderId="0" xfId="7" applyNumberFormat="1" applyFont="1" applyFill="1"/>
    <xf numFmtId="0" fontId="7" fillId="0" borderId="0" xfId="8" applyFont="1" applyFill="1"/>
    <xf numFmtId="1" fontId="7" fillId="0" borderId="0" xfId="8" applyNumberFormat="1" applyFont="1" applyFill="1"/>
    <xf numFmtId="0" fontId="16" fillId="7" borderId="0" xfId="3" applyFont="1" applyFill="1"/>
    <xf numFmtId="164" fontId="7" fillId="0" borderId="0" xfId="8" applyNumberFormat="1" applyFont="1" applyFill="1"/>
    <xf numFmtId="0" fontId="7" fillId="0" borderId="0" xfId="7" applyFont="1" applyFill="1" applyAlignment="1">
      <alignment horizontal="right"/>
    </xf>
    <xf numFmtId="0" fontId="7" fillId="0" borderId="0" xfId="9" applyFont="1" applyFill="1" applyAlignment="1">
      <alignment horizontal="right"/>
    </xf>
    <xf numFmtId="0" fontId="9" fillId="0" borderId="0" xfId="3" applyFont="1" applyFill="1"/>
    <xf numFmtId="0" fontId="18" fillId="0" borderId="0" xfId="0" applyFont="1"/>
    <xf numFmtId="0" fontId="20" fillId="9" borderId="0" xfId="0" applyFont="1" applyFill="1" applyBorder="1" applyAlignment="1">
      <alignment horizontal="center"/>
    </xf>
    <xf numFmtId="0" fontId="21" fillId="0" borderId="0" xfId="3" applyFont="1" applyFill="1"/>
    <xf numFmtId="0" fontId="20" fillId="9" borderId="0" xfId="1" applyFont="1" applyFill="1" applyBorder="1" applyAlignment="1">
      <alignment horizontal="center"/>
    </xf>
    <xf numFmtId="0" fontId="20" fillId="9" borderId="0" xfId="1" applyFont="1" applyFill="1" applyBorder="1" applyAlignment="1"/>
    <xf numFmtId="0" fontId="20" fillId="0" borderId="0" xfId="0" applyFont="1" applyFill="1"/>
    <xf numFmtId="0" fontId="20" fillId="0" borderId="0" xfId="1" applyFont="1" applyFill="1" applyBorder="1" applyAlignment="1">
      <alignment horizontal="center"/>
    </xf>
    <xf numFmtId="0" fontId="20" fillId="9" borderId="0" xfId="0" applyFont="1" applyFill="1" applyBorder="1" applyAlignment="1">
      <alignment horizontal="center" textRotation="90"/>
    </xf>
    <xf numFmtId="0" fontId="20" fillId="9" borderId="0" xfId="1" applyFont="1" applyFill="1" applyBorder="1" applyAlignment="1">
      <alignment horizontal="center" textRotation="90"/>
    </xf>
    <xf numFmtId="0" fontId="20" fillId="0" borderId="0" xfId="0" applyFont="1" applyFill="1" applyAlignment="1">
      <alignment textRotation="90"/>
    </xf>
    <xf numFmtId="0" fontId="22" fillId="2" borderId="1" xfId="1" applyFont="1" applyBorder="1" applyAlignment="1">
      <alignment horizontal="center" textRotation="90"/>
    </xf>
    <xf numFmtId="0" fontId="20" fillId="0" borderId="0" xfId="2" applyFont="1" applyFill="1" applyBorder="1" applyAlignment="1">
      <alignment horizontal="center" textRotation="90"/>
    </xf>
    <xf numFmtId="0" fontId="20" fillId="9" borderId="0" xfId="0" applyFont="1" applyFill="1" applyBorder="1"/>
    <xf numFmtId="0" fontId="20" fillId="0" borderId="2" xfId="0" applyFont="1" applyFill="1" applyBorder="1"/>
    <xf numFmtId="0" fontId="20" fillId="0" borderId="1" xfId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0" fillId="0" borderId="3" xfId="0" applyFont="1" applyFill="1" applyBorder="1"/>
    <xf numFmtId="0" fontId="20" fillId="0" borderId="0" xfId="0" applyFont="1" applyFill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5" fillId="9" borderId="0" xfId="0" applyFont="1" applyFill="1" applyBorder="1" applyAlignment="1">
      <alignment horizontal="right"/>
    </xf>
    <xf numFmtId="0" fontId="25" fillId="9" borderId="0" xfId="0" applyFont="1" applyFill="1" applyBorder="1" applyAlignment="1">
      <alignment horizontal="center"/>
    </xf>
    <xf numFmtId="0" fontId="20" fillId="9" borderId="0" xfId="2" applyFont="1" applyFill="1" applyBorder="1" applyAlignment="1">
      <alignment horizontal="center"/>
    </xf>
    <xf numFmtId="0" fontId="25" fillId="0" borderId="3" xfId="0" applyFont="1" applyFill="1" applyBorder="1" applyAlignment="1">
      <alignment horizontal="right"/>
    </xf>
    <xf numFmtId="0" fontId="20" fillId="0" borderId="1" xfId="2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right"/>
    </xf>
    <xf numFmtId="9" fontId="20" fillId="9" borderId="0" xfId="1" applyNumberFormat="1" applyFont="1" applyFill="1" applyBorder="1" applyAlignment="1">
      <alignment horizontal="center"/>
    </xf>
    <xf numFmtId="9" fontId="25" fillId="9" borderId="0" xfId="0" applyNumberFormat="1" applyFont="1" applyFill="1" applyBorder="1" applyAlignment="1">
      <alignment horizontal="center"/>
    </xf>
    <xf numFmtId="9" fontId="20" fillId="9" borderId="0" xfId="2" applyNumberFormat="1" applyFont="1" applyFill="1" applyBorder="1" applyAlignment="1">
      <alignment horizontal="center"/>
    </xf>
    <xf numFmtId="9" fontId="20" fillId="0" borderId="1" xfId="1" applyNumberFormat="1" applyFont="1" applyFill="1" applyBorder="1" applyAlignment="1">
      <alignment horizontal="center"/>
    </xf>
    <xf numFmtId="9" fontId="20" fillId="0" borderId="1" xfId="2" applyNumberFormat="1" applyFont="1" applyFill="1" applyBorder="1" applyAlignment="1">
      <alignment horizontal="center"/>
    </xf>
    <xf numFmtId="9" fontId="25" fillId="0" borderId="1" xfId="0" applyNumberFormat="1" applyFont="1" applyFill="1" applyBorder="1" applyAlignment="1">
      <alignment horizontal="center"/>
    </xf>
    <xf numFmtId="9" fontId="20" fillId="0" borderId="1" xfId="5" applyFont="1" applyFill="1" applyBorder="1" applyAlignment="1">
      <alignment horizontal="center"/>
    </xf>
    <xf numFmtId="164" fontId="20" fillId="9" borderId="0" xfId="1" applyNumberFormat="1" applyFont="1" applyFill="1" applyBorder="1" applyAlignment="1">
      <alignment horizontal="center"/>
    </xf>
    <xf numFmtId="164" fontId="25" fillId="9" borderId="0" xfId="1" applyNumberFormat="1" applyFont="1" applyFill="1" applyBorder="1" applyAlignment="1">
      <alignment horizontal="center"/>
    </xf>
    <xf numFmtId="164" fontId="20" fillId="9" borderId="0" xfId="2" applyNumberFormat="1" applyFont="1" applyFill="1" applyBorder="1" applyAlignment="1">
      <alignment horizontal="center"/>
    </xf>
    <xf numFmtId="164" fontId="20" fillId="0" borderId="1" xfId="1" applyNumberFormat="1" applyFont="1" applyFill="1" applyBorder="1" applyAlignment="1">
      <alignment horizontal="center"/>
    </xf>
    <xf numFmtId="164" fontId="20" fillId="0" borderId="1" xfId="2" applyNumberFormat="1" applyFont="1" applyFill="1" applyBorder="1" applyAlignment="1">
      <alignment horizontal="center"/>
    </xf>
    <xf numFmtId="164" fontId="25" fillId="0" borderId="1" xfId="1" applyNumberFormat="1" applyFont="1" applyFill="1" applyBorder="1" applyAlignment="1">
      <alignment horizontal="center"/>
    </xf>
    <xf numFmtId="164" fontId="20" fillId="9" borderId="0" xfId="0" applyNumberFormat="1" applyFont="1" applyFill="1" applyBorder="1" applyAlignment="1">
      <alignment horizontal="center"/>
    </xf>
    <xf numFmtId="164" fontId="25" fillId="9" borderId="0" xfId="0" applyNumberFormat="1" applyFont="1" applyFill="1" applyBorder="1" applyAlignment="1">
      <alignment horizontal="center"/>
    </xf>
    <xf numFmtId="164" fontId="20" fillId="0" borderId="1" xfId="0" applyNumberFormat="1" applyFont="1" applyFill="1" applyBorder="1" applyAlignment="1">
      <alignment horizontal="center"/>
    </xf>
    <xf numFmtId="164" fontId="25" fillId="0" borderId="1" xfId="0" applyNumberFormat="1" applyFont="1" applyFill="1" applyBorder="1" applyAlignment="1">
      <alignment horizontal="center"/>
    </xf>
    <xf numFmtId="0" fontId="22" fillId="2" borderId="2" xfId="1" applyFont="1" applyBorder="1" applyAlignment="1">
      <alignment horizontal="center"/>
    </xf>
    <xf numFmtId="0" fontId="22" fillId="2" borderId="6" xfId="1" applyFont="1" applyBorder="1" applyAlignment="1">
      <alignment horizontal="center"/>
    </xf>
    <xf numFmtId="0" fontId="22" fillId="2" borderId="1" xfId="1" applyFont="1" applyBorder="1" applyAlignment="1">
      <alignment horizontal="center"/>
    </xf>
    <xf numFmtId="0" fontId="21" fillId="0" borderId="1" xfId="3" applyFont="1" applyFill="1" applyBorder="1" applyAlignment="1">
      <alignment horizontal="center"/>
    </xf>
    <xf numFmtId="0" fontId="24" fillId="0" borderId="1" xfId="1" applyFont="1" applyFill="1" applyBorder="1" applyAlignment="1">
      <alignment horizontal="center"/>
    </xf>
    <xf numFmtId="0" fontId="11" fillId="4" borderId="1" xfId="7" applyBorder="1" applyAlignment="1">
      <alignment horizontal="center"/>
    </xf>
    <xf numFmtId="0" fontId="22" fillId="2" borderId="4" xfId="1" applyFont="1" applyBorder="1" applyAlignment="1">
      <alignment horizontal="center"/>
    </xf>
    <xf numFmtId="0" fontId="20" fillId="0" borderId="0" xfId="0" applyFont="1" applyFill="1" applyBorder="1"/>
    <xf numFmtId="0" fontId="26" fillId="3" borderId="2" xfId="2" applyFont="1" applyBorder="1" applyAlignment="1">
      <alignment horizontal="center"/>
    </xf>
    <xf numFmtId="0" fontId="26" fillId="3" borderId="6" xfId="2" applyFont="1" applyBorder="1" applyAlignment="1">
      <alignment horizontal="center"/>
    </xf>
    <xf numFmtId="0" fontId="26" fillId="3" borderId="1" xfId="2" applyFont="1" applyBorder="1" applyAlignment="1">
      <alignment horizontal="center"/>
    </xf>
    <xf numFmtId="0" fontId="26" fillId="3" borderId="1" xfId="2" applyFont="1" applyBorder="1" applyAlignment="1">
      <alignment horizontal="center" textRotation="90"/>
    </xf>
    <xf numFmtId="0" fontId="20" fillId="0" borderId="0" xfId="0" applyFont="1" applyFill="1" applyBorder="1" applyAlignment="1">
      <alignment horizontal="center"/>
    </xf>
    <xf numFmtId="0" fontId="19" fillId="4" borderId="1" xfId="4" applyFont="1" applyBorder="1" applyAlignment="1">
      <alignment horizontal="center"/>
    </xf>
    <xf numFmtId="0" fontId="20" fillId="0" borderId="3" xfId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0" xfId="2" applyFont="1" applyFill="1" applyBorder="1" applyAlignment="1">
      <alignment horizontal="center"/>
    </xf>
    <xf numFmtId="0" fontId="21" fillId="0" borderId="0" xfId="3" applyFont="1" applyFill="1" applyBorder="1"/>
    <xf numFmtId="9" fontId="9" fillId="0" borderId="0" xfId="8" applyNumberFormat="1" applyFont="1" applyFill="1"/>
    <xf numFmtId="9" fontId="9" fillId="0" borderId="0" xfId="9" applyNumberFormat="1" applyFont="1" applyFill="1"/>
    <xf numFmtId="0" fontId="7" fillId="10" borderId="0" xfId="3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3" applyFont="1" applyFill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28" fillId="3" borderId="2" xfId="2" applyFont="1" applyBorder="1" applyAlignment="1">
      <alignment horizontal="center"/>
    </xf>
    <xf numFmtId="0" fontId="28" fillId="3" borderId="6" xfId="2" applyFont="1" applyBorder="1" applyAlignment="1">
      <alignment horizontal="center"/>
    </xf>
    <xf numFmtId="0" fontId="28" fillId="3" borderId="1" xfId="2" applyFont="1" applyBorder="1" applyAlignment="1">
      <alignment horizontal="center"/>
    </xf>
    <xf numFmtId="0" fontId="31" fillId="2" borderId="2" xfId="1" applyFont="1" applyBorder="1" applyAlignment="1">
      <alignment horizontal="center"/>
    </xf>
    <xf numFmtId="0" fontId="31" fillId="2" borderId="6" xfId="1" applyFont="1" applyBorder="1" applyAlignment="1">
      <alignment horizontal="center"/>
    </xf>
    <xf numFmtId="0" fontId="31" fillId="2" borderId="1" xfId="1" applyFont="1" applyBorder="1" applyAlignment="1">
      <alignment horizontal="center"/>
    </xf>
    <xf numFmtId="0" fontId="7" fillId="0" borderId="0" xfId="0" applyFont="1" applyFill="1" applyAlignment="1">
      <alignment textRotation="90"/>
    </xf>
    <xf numFmtId="0" fontId="28" fillId="3" borderId="1" xfId="2" applyFont="1" applyBorder="1" applyAlignment="1">
      <alignment horizontal="center" textRotation="90"/>
    </xf>
    <xf numFmtId="0" fontId="7" fillId="0" borderId="0" xfId="3" applyFont="1" applyFill="1" applyBorder="1" applyAlignment="1">
      <alignment textRotation="90"/>
    </xf>
    <xf numFmtId="0" fontId="31" fillId="2" borderId="1" xfId="1" applyFont="1" applyBorder="1" applyAlignment="1">
      <alignment horizontal="center" textRotation="90"/>
    </xf>
    <xf numFmtId="165" fontId="7" fillId="0" borderId="0" xfId="3" applyNumberFormat="1" applyFont="1" applyFill="1" applyAlignment="1">
      <alignment horizontal="center"/>
    </xf>
    <xf numFmtId="0" fontId="7" fillId="0" borderId="0" xfId="3" applyFont="1" applyFill="1" applyAlignment="1">
      <alignment textRotation="90"/>
    </xf>
    <xf numFmtId="9" fontId="9" fillId="11" borderId="0" xfId="9" applyNumberFormat="1" applyFont="1" applyFill="1"/>
    <xf numFmtId="0" fontId="7" fillId="13" borderId="0" xfId="8" applyFont="1" applyFill="1"/>
    <xf numFmtId="9" fontId="9" fillId="13" borderId="0" xfId="8" applyNumberFormat="1" applyFont="1" applyFill="1"/>
    <xf numFmtId="0" fontId="20" fillId="0" borderId="1" xfId="3" applyFont="1" applyFill="1" applyBorder="1" applyAlignment="1">
      <alignment horizontal="center"/>
    </xf>
    <xf numFmtId="9" fontId="9" fillId="14" borderId="0" xfId="8" applyNumberFormat="1" applyFont="1" applyFill="1"/>
    <xf numFmtId="9" fontId="7" fillId="15" borderId="0" xfId="8" applyNumberFormat="1" applyFont="1" applyFill="1"/>
    <xf numFmtId="0" fontId="26" fillId="3" borderId="4" xfId="2" applyFont="1" applyBorder="1" applyAlignment="1">
      <alignment horizontal="center"/>
    </xf>
    <xf numFmtId="0" fontId="20" fillId="9" borderId="0" xfId="3" applyFont="1" applyFill="1" applyBorder="1"/>
    <xf numFmtId="0" fontId="20" fillId="9" borderId="0" xfId="3" applyFont="1" applyFill="1"/>
    <xf numFmtId="0" fontId="20" fillId="9" borderId="0" xfId="3" applyFont="1" applyFill="1" applyBorder="1" applyAlignment="1">
      <alignment horizontal="center"/>
    </xf>
    <xf numFmtId="0" fontId="20" fillId="0" borderId="0" xfId="3" applyFont="1" applyFill="1"/>
    <xf numFmtId="0" fontId="20" fillId="9" borderId="0" xfId="3" applyFont="1" applyFill="1" applyBorder="1" applyAlignment="1">
      <alignment textRotation="90"/>
    </xf>
    <xf numFmtId="0" fontId="20" fillId="9" borderId="0" xfId="3" applyFont="1" applyFill="1" applyBorder="1" applyAlignment="1">
      <alignment horizontal="center" textRotation="90"/>
    </xf>
    <xf numFmtId="0" fontId="20" fillId="0" borderId="0" xfId="3" applyFont="1" applyFill="1" applyBorder="1" applyAlignment="1">
      <alignment textRotation="90"/>
    </xf>
    <xf numFmtId="0" fontId="20" fillId="0" borderId="0" xfId="3" applyFont="1" applyFill="1" applyAlignment="1">
      <alignment textRotation="90"/>
    </xf>
    <xf numFmtId="0" fontId="25" fillId="9" borderId="0" xfId="3" applyFont="1" applyFill="1" applyBorder="1" applyAlignment="1">
      <alignment horizontal="center"/>
    </xf>
    <xf numFmtId="0" fontId="25" fillId="0" borderId="1" xfId="3" applyFont="1" applyFill="1" applyBorder="1" applyAlignment="1">
      <alignment horizontal="center"/>
    </xf>
    <xf numFmtId="165" fontId="20" fillId="0" borderId="0" xfId="3" applyNumberFormat="1" applyFont="1" applyFill="1" applyAlignment="1">
      <alignment horizontal="center"/>
    </xf>
    <xf numFmtId="0" fontId="25" fillId="0" borderId="6" xfId="3" applyFont="1" applyFill="1" applyBorder="1" applyAlignment="1">
      <alignment horizontal="center"/>
    </xf>
    <xf numFmtId="0" fontId="20" fillId="0" borderId="0" xfId="3" applyFont="1" applyFill="1" applyAlignment="1">
      <alignment horizontal="center"/>
    </xf>
    <xf numFmtId="0" fontId="25" fillId="9" borderId="0" xfId="3" applyFont="1" applyFill="1"/>
    <xf numFmtId="0" fontId="20" fillId="9" borderId="0" xfId="3" applyFont="1" applyFill="1" applyAlignment="1">
      <alignment textRotation="90"/>
    </xf>
    <xf numFmtId="0" fontId="1" fillId="2" borderId="2" xfId="1" applyFont="1" applyBorder="1" applyAlignment="1">
      <alignment horizontal="center"/>
    </xf>
    <xf numFmtId="0" fontId="1" fillId="2" borderId="6" xfId="1" applyFont="1" applyBorder="1" applyAlignment="1">
      <alignment horizontal="center"/>
    </xf>
    <xf numFmtId="0" fontId="1" fillId="2" borderId="1" xfId="1" applyFont="1" applyBorder="1" applyAlignment="1">
      <alignment horizontal="center"/>
    </xf>
    <xf numFmtId="0" fontId="1" fillId="2" borderId="4" xfId="1" applyFont="1" applyBorder="1" applyAlignment="1">
      <alignment horizontal="center"/>
    </xf>
    <xf numFmtId="0" fontId="1" fillId="2" borderId="1" xfId="1" applyFont="1" applyBorder="1" applyAlignment="1">
      <alignment horizontal="center" textRotation="90"/>
    </xf>
    <xf numFmtId="0" fontId="5" fillId="19" borderId="1" xfId="14" applyBorder="1" applyAlignment="1">
      <alignment horizontal="center"/>
    </xf>
    <xf numFmtId="9" fontId="41" fillId="3" borderId="0" xfId="9" applyNumberFormat="1" applyFont="1" applyBorder="1"/>
    <xf numFmtId="164" fontId="43" fillId="2" borderId="0" xfId="8" applyNumberFormat="1" applyFont="1"/>
    <xf numFmtId="9" fontId="13" fillId="0" borderId="0" xfId="5" applyFont="1" applyFill="1"/>
    <xf numFmtId="0" fontId="7" fillId="0" borderId="0" xfId="3" applyFont="1" applyFill="1" applyBorder="1" applyAlignment="1">
      <alignment horizontal="center"/>
    </xf>
    <xf numFmtId="0" fontId="7" fillId="0" borderId="0" xfId="3" applyFont="1" applyFill="1" applyAlignment="1">
      <alignment horizontal="center" textRotation="90"/>
    </xf>
    <xf numFmtId="0" fontId="7" fillId="11" borderId="0" xfId="3" applyFont="1" applyFill="1" applyAlignment="1">
      <alignment horizontal="center" textRotation="90"/>
    </xf>
    <xf numFmtId="9" fontId="52" fillId="0" borderId="0" xfId="7" applyNumberFormat="1" applyFont="1" applyFill="1"/>
    <xf numFmtId="164" fontId="52" fillId="0" borderId="0" xfId="7" applyNumberFormat="1" applyFont="1" applyFill="1" applyAlignment="1">
      <alignment horizontal="right"/>
    </xf>
    <xf numFmtId="164" fontId="52" fillId="0" borderId="0" xfId="7" applyNumberFormat="1" applyFont="1" applyFill="1"/>
    <xf numFmtId="164" fontId="52" fillId="0" borderId="0" xfId="8" applyNumberFormat="1" applyFont="1" applyFill="1"/>
    <xf numFmtId="9" fontId="52" fillId="0" borderId="0" xfId="8" applyNumberFormat="1" applyFont="1" applyFill="1"/>
    <xf numFmtId="164" fontId="52" fillId="0" borderId="0" xfId="7" applyNumberFormat="1" applyFont="1" applyFill="1" applyBorder="1"/>
    <xf numFmtId="9" fontId="53" fillId="0" borderId="0" xfId="8" applyNumberFormat="1" applyFont="1" applyFill="1"/>
    <xf numFmtId="9" fontId="46" fillId="0" borderId="0" xfId="8" applyNumberFormat="1" applyFont="1" applyFill="1"/>
    <xf numFmtId="9" fontId="52" fillId="0" borderId="0" xfId="7" applyNumberFormat="1" applyFont="1" applyFill="1" applyAlignment="1">
      <alignment horizontal="right"/>
    </xf>
    <xf numFmtId="9" fontId="52" fillId="2" borderId="0" xfId="8" applyNumberFormat="1" applyFont="1"/>
    <xf numFmtId="0" fontId="7" fillId="10" borderId="0" xfId="3" applyFont="1" applyFill="1" applyAlignment="1">
      <alignment textRotation="90"/>
    </xf>
    <xf numFmtId="0" fontId="7" fillId="0" borderId="0" xfId="3" applyFont="1" applyFill="1" applyBorder="1" applyAlignment="1">
      <alignment horizontal="center" textRotation="90"/>
    </xf>
    <xf numFmtId="0" fontId="20" fillId="15" borderId="1" xfId="1" applyFont="1" applyFill="1" applyBorder="1" applyAlignment="1">
      <alignment horizontal="center"/>
    </xf>
    <xf numFmtId="0" fontId="20" fillId="15" borderId="1" xfId="0" applyFont="1" applyFill="1" applyBorder="1" applyAlignment="1">
      <alignment horizontal="center"/>
    </xf>
    <xf numFmtId="0" fontId="26" fillId="3" borderId="4" xfId="2" applyFont="1" applyBorder="1" applyAlignment="1">
      <alignment horizontal="center"/>
    </xf>
    <xf numFmtId="0" fontId="22" fillId="2" borderId="4" xfId="1" applyFont="1" applyBorder="1" applyAlignment="1">
      <alignment horizontal="center"/>
    </xf>
    <xf numFmtId="0" fontId="1" fillId="2" borderId="4" xfId="1" applyFont="1" applyBorder="1" applyAlignment="1">
      <alignment horizontal="center"/>
    </xf>
    <xf numFmtId="0" fontId="9" fillId="10" borderId="0" xfId="0" applyFont="1" applyFill="1"/>
    <xf numFmtId="0" fontId="34" fillId="2" borderId="0" xfId="8" applyFont="1"/>
    <xf numFmtId="0" fontId="7" fillId="0" borderId="0" xfId="3" applyFont="1"/>
    <xf numFmtId="0" fontId="7" fillId="15" borderId="3" xfId="1" applyFont="1" applyFill="1" applyBorder="1" applyAlignment="1">
      <alignment horizontal="center"/>
    </xf>
    <xf numFmtId="0" fontId="7" fillId="15" borderId="1" xfId="1" applyFont="1" applyFill="1" applyBorder="1" applyAlignment="1">
      <alignment horizontal="center"/>
    </xf>
    <xf numFmtId="0" fontId="20" fillId="15" borderId="1" xfId="3" applyFont="1" applyFill="1" applyBorder="1" applyAlignment="1">
      <alignment horizontal="center"/>
    </xf>
    <xf numFmtId="9" fontId="47" fillId="2" borderId="0" xfId="8" applyNumberFormat="1" applyFont="1"/>
    <xf numFmtId="9" fontId="55" fillId="2" borderId="0" xfId="8" applyNumberFormat="1" applyFont="1"/>
    <xf numFmtId="164" fontId="36" fillId="4" borderId="0" xfId="7" applyNumberFormat="1" applyFont="1"/>
    <xf numFmtId="0" fontId="24" fillId="30" borderId="1" xfId="1" applyFont="1" applyFill="1" applyBorder="1" applyAlignment="1">
      <alignment horizontal="center"/>
    </xf>
    <xf numFmtId="0" fontId="24" fillId="30" borderId="1" xfId="2" applyFont="1" applyFill="1" applyBorder="1" applyAlignment="1">
      <alignment horizontal="center"/>
    </xf>
    <xf numFmtId="0" fontId="24" fillId="30" borderId="1" xfId="0" applyFont="1" applyFill="1" applyBorder="1" applyAlignment="1">
      <alignment horizontal="center"/>
    </xf>
    <xf numFmtId="164" fontId="24" fillId="0" borderId="1" xfId="0" applyNumberFormat="1" applyFont="1" applyFill="1" applyBorder="1" applyAlignment="1">
      <alignment horizontal="center"/>
    </xf>
    <xf numFmtId="0" fontId="56" fillId="15" borderId="1" xfId="7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/>
    </xf>
    <xf numFmtId="164" fontId="32" fillId="0" borderId="1" xfId="0" applyNumberFormat="1" applyFont="1" applyFill="1" applyBorder="1" applyAlignment="1">
      <alignment horizontal="center"/>
    </xf>
    <xf numFmtId="0" fontId="7" fillId="33" borderId="1" xfId="0" applyFont="1" applyFill="1" applyBorder="1" applyAlignment="1">
      <alignment horizontal="center"/>
    </xf>
    <xf numFmtId="0" fontId="32" fillId="0" borderId="3" xfId="1" applyFont="1" applyFill="1" applyBorder="1" applyAlignment="1">
      <alignment horizontal="center"/>
    </xf>
    <xf numFmtId="0" fontId="7" fillId="33" borderId="1" xfId="3" applyFont="1" applyFill="1" applyBorder="1" applyAlignment="1">
      <alignment horizontal="center"/>
    </xf>
    <xf numFmtId="164" fontId="53" fillId="2" borderId="0" xfId="8" applyNumberFormat="1" applyFont="1" applyAlignment="1">
      <alignment horizontal="right"/>
    </xf>
    <xf numFmtId="164" fontId="53" fillId="4" borderId="0" xfId="7" applyNumberFormat="1" applyFont="1" applyAlignment="1">
      <alignment horizontal="right"/>
    </xf>
    <xf numFmtId="164" fontId="9" fillId="14" borderId="0" xfId="8" applyNumberFormat="1" applyFont="1" applyFill="1" applyAlignment="1">
      <alignment horizontal="right"/>
    </xf>
    <xf numFmtId="9" fontId="57" fillId="4" borderId="0" xfId="7" applyNumberFormat="1" applyFont="1"/>
    <xf numFmtId="164" fontId="24" fillId="0" borderId="1" xfId="2" applyNumberFormat="1" applyFont="1" applyFill="1" applyBorder="1" applyAlignment="1">
      <alignment horizontal="center"/>
    </xf>
    <xf numFmtId="9" fontId="52" fillId="11" borderId="0" xfId="7" applyNumberFormat="1" applyFont="1" applyFill="1"/>
    <xf numFmtId="9" fontId="52" fillId="11" borderId="0" xfId="8" applyNumberFormat="1" applyFont="1" applyFill="1"/>
    <xf numFmtId="9" fontId="52" fillId="11" borderId="0" xfId="7" applyNumberFormat="1" applyFont="1" applyFill="1" applyAlignment="1">
      <alignment horizontal="right"/>
    </xf>
    <xf numFmtId="9" fontId="46" fillId="11" borderId="0" xfId="8" applyNumberFormat="1" applyFont="1" applyFill="1"/>
    <xf numFmtId="0" fontId="8" fillId="11" borderId="0" xfId="3" applyFont="1" applyFill="1"/>
    <xf numFmtId="0" fontId="37" fillId="11" borderId="0" xfId="0" applyFont="1" applyFill="1"/>
    <xf numFmtId="164" fontId="9" fillId="13" borderId="0" xfId="8" applyNumberFormat="1" applyFont="1" applyFill="1" applyBorder="1" applyAlignment="1">
      <alignment horizontal="right"/>
    </xf>
    <xf numFmtId="9" fontId="9" fillId="25" borderId="0" xfId="8" applyNumberFormat="1" applyFont="1" applyFill="1"/>
    <xf numFmtId="164" fontId="9" fillId="25" borderId="0" xfId="8" applyNumberFormat="1" applyFont="1" applyFill="1"/>
    <xf numFmtId="9" fontId="9" fillId="31" borderId="0" xfId="8" applyNumberFormat="1" applyFont="1" applyFill="1"/>
    <xf numFmtId="164" fontId="9" fillId="31" borderId="0" xfId="8" applyNumberFormat="1" applyFont="1" applyFill="1"/>
    <xf numFmtId="9" fontId="9" fillId="31" borderId="0" xfId="9" applyNumberFormat="1" applyFont="1" applyFill="1"/>
    <xf numFmtId="0" fontId="7" fillId="21" borderId="0" xfId="4" applyFont="1" applyFill="1" applyAlignment="1">
      <alignment textRotation="90"/>
    </xf>
    <xf numFmtId="0" fontId="7" fillId="21" borderId="0" xfId="7" applyFont="1" applyFill="1" applyAlignment="1">
      <alignment horizontal="right"/>
    </xf>
    <xf numFmtId="0" fontId="7" fillId="21" borderId="0" xfId="9" applyFont="1" applyFill="1" applyAlignment="1">
      <alignment horizontal="right"/>
    </xf>
    <xf numFmtId="164" fontId="9" fillId="21" borderId="0" xfId="8" applyNumberFormat="1" applyFont="1" applyFill="1" applyAlignment="1">
      <alignment horizontal="right"/>
    </xf>
    <xf numFmtId="164" fontId="9" fillId="21" borderId="0" xfId="8" applyNumberFormat="1" applyFont="1" applyFill="1" applyBorder="1"/>
    <xf numFmtId="0" fontId="7" fillId="20" borderId="0" xfId="4" applyFont="1" applyFill="1" applyAlignment="1">
      <alignment textRotation="90"/>
    </xf>
    <xf numFmtId="0" fontId="7" fillId="20" borderId="0" xfId="7" applyFont="1" applyFill="1" applyAlignment="1">
      <alignment horizontal="right"/>
    </xf>
    <xf numFmtId="0" fontId="7" fillId="20" borderId="0" xfId="9" applyFont="1" applyFill="1" applyAlignment="1">
      <alignment horizontal="right"/>
    </xf>
    <xf numFmtId="164" fontId="9" fillId="20" borderId="0" xfId="8" applyNumberFormat="1" applyFont="1" applyFill="1" applyAlignment="1">
      <alignment horizontal="right"/>
    </xf>
    <xf numFmtId="164" fontId="9" fillId="20" borderId="0" xfId="8" applyNumberFormat="1" applyFont="1" applyFill="1" applyBorder="1"/>
    <xf numFmtId="0" fontId="7" fillId="23" borderId="0" xfId="4" applyFont="1" applyFill="1" applyAlignment="1">
      <alignment textRotation="90"/>
    </xf>
    <xf numFmtId="0" fontId="7" fillId="23" borderId="0" xfId="7" applyFont="1" applyFill="1" applyAlignment="1">
      <alignment horizontal="right"/>
    </xf>
    <xf numFmtId="0" fontId="7" fillId="23" borderId="0" xfId="9" applyFont="1" applyFill="1" applyAlignment="1">
      <alignment horizontal="right"/>
    </xf>
    <xf numFmtId="164" fontId="9" fillId="23" borderId="0" xfId="8" applyNumberFormat="1" applyFont="1" applyFill="1" applyAlignment="1">
      <alignment horizontal="right"/>
    </xf>
    <xf numFmtId="164" fontId="9" fillId="23" borderId="0" xfId="8" applyNumberFormat="1" applyFont="1" applyFill="1" applyBorder="1"/>
    <xf numFmtId="164" fontId="9" fillId="20" borderId="0" xfId="8" applyNumberFormat="1" applyFont="1" applyFill="1" applyBorder="1" applyAlignment="1">
      <alignment horizontal="right"/>
    </xf>
    <xf numFmtId="164" fontId="9" fillId="23" borderId="0" xfId="8" applyNumberFormat="1" applyFont="1" applyFill="1" applyBorder="1" applyAlignment="1">
      <alignment horizontal="right"/>
    </xf>
    <xf numFmtId="0" fontId="7" fillId="28" borderId="0" xfId="4" applyFont="1" applyFill="1" applyAlignment="1">
      <alignment textRotation="90"/>
    </xf>
    <xf numFmtId="0" fontId="7" fillId="28" borderId="0" xfId="7" applyFont="1" applyFill="1" applyAlignment="1">
      <alignment horizontal="right"/>
    </xf>
    <xf numFmtId="0" fontId="7" fillId="28" borderId="0" xfId="9" applyFont="1" applyFill="1" applyAlignment="1">
      <alignment horizontal="right"/>
    </xf>
    <xf numFmtId="164" fontId="9" fillId="28" borderId="0" xfId="8" applyNumberFormat="1" applyFont="1" applyFill="1" applyAlignment="1">
      <alignment horizontal="right"/>
    </xf>
    <xf numFmtId="164" fontId="9" fillId="28" borderId="0" xfId="8" applyNumberFormat="1" applyFont="1" applyFill="1" applyBorder="1"/>
    <xf numFmtId="0" fontId="7" fillId="30" borderId="0" xfId="4" applyFont="1" applyFill="1" applyAlignment="1">
      <alignment textRotation="90"/>
    </xf>
    <xf numFmtId="0" fontId="7" fillId="30" borderId="0" xfId="7" applyFont="1" applyFill="1" applyAlignment="1">
      <alignment horizontal="right"/>
    </xf>
    <xf numFmtId="0" fontId="7" fillId="30" borderId="0" xfId="9" applyFont="1" applyFill="1" applyAlignment="1">
      <alignment horizontal="right"/>
    </xf>
    <xf numFmtId="164" fontId="9" fillId="30" borderId="0" xfId="8" applyNumberFormat="1" applyFont="1" applyFill="1" applyAlignment="1">
      <alignment horizontal="right"/>
    </xf>
    <xf numFmtId="164" fontId="9" fillId="30" borderId="0" xfId="8" applyNumberFormat="1" applyFont="1" applyFill="1" applyBorder="1"/>
    <xf numFmtId="0" fontId="32" fillId="11" borderId="0" xfId="3" applyFont="1" applyFill="1" applyAlignment="1">
      <alignment textRotation="90"/>
    </xf>
    <xf numFmtId="0" fontId="33" fillId="20" borderId="0" xfId="7" applyFont="1" applyFill="1" applyAlignment="1">
      <alignment horizontal="right"/>
    </xf>
    <xf numFmtId="164" fontId="44" fillId="20" borderId="0" xfId="9" applyNumberFormat="1" applyFont="1" applyFill="1" applyAlignment="1">
      <alignment horizontal="right"/>
    </xf>
    <xf numFmtId="0" fontId="33" fillId="30" borderId="0" xfId="7" applyFont="1" applyFill="1" applyAlignment="1">
      <alignment horizontal="right"/>
    </xf>
    <xf numFmtId="164" fontId="44" fillId="30" borderId="0" xfId="9" applyNumberFormat="1" applyFont="1" applyFill="1" applyAlignment="1">
      <alignment horizontal="right"/>
    </xf>
    <xf numFmtId="164" fontId="9" fillId="25" borderId="0" xfId="9" applyNumberFormat="1" applyFont="1" applyFill="1"/>
    <xf numFmtId="164" fontId="52" fillId="14" borderId="0" xfId="8" applyNumberFormat="1" applyFont="1" applyFill="1" applyBorder="1"/>
    <xf numFmtId="9" fontId="9" fillId="24" borderId="0" xfId="8" applyNumberFormat="1" applyFont="1" applyFill="1"/>
    <xf numFmtId="164" fontId="9" fillId="24" borderId="0" xfId="8" applyNumberFormat="1" applyFont="1" applyFill="1"/>
    <xf numFmtId="164" fontId="9" fillId="24" borderId="0" xfId="7" applyNumberFormat="1" applyFont="1" applyFill="1"/>
    <xf numFmtId="9" fontId="9" fillId="31" borderId="0" xfId="7" applyNumberFormat="1" applyFont="1" applyFill="1"/>
    <xf numFmtId="164" fontId="9" fillId="31" borderId="0" xfId="8" applyNumberFormat="1" applyFont="1" applyFill="1" applyBorder="1" applyAlignment="1">
      <alignment horizontal="right"/>
    </xf>
    <xf numFmtId="164" fontId="52" fillId="22" borderId="0" xfId="8" applyNumberFormat="1" applyFont="1" applyFill="1" applyBorder="1"/>
    <xf numFmtId="9" fontId="9" fillId="31" borderId="0" xfId="5" applyFont="1" applyFill="1"/>
    <xf numFmtId="0" fontId="22" fillId="2" borderId="4" xfId="1" applyFont="1" applyBorder="1" applyAlignment="1">
      <alignment horizontal="center"/>
    </xf>
    <xf numFmtId="0" fontId="26" fillId="3" borderId="4" xfId="2" applyFont="1" applyBorder="1" applyAlignment="1">
      <alignment horizontal="center"/>
    </xf>
    <xf numFmtId="9" fontId="9" fillId="15" borderId="0" xfId="8" applyNumberFormat="1" applyFont="1" applyFill="1" applyAlignment="1">
      <alignment horizontal="right"/>
    </xf>
    <xf numFmtId="9" fontId="9" fillId="13" borderId="0" xfId="8" applyNumberFormat="1" applyFont="1" applyFill="1" applyAlignment="1">
      <alignment horizontal="right"/>
    </xf>
    <xf numFmtId="9" fontId="9" fillId="14" borderId="0" xfId="8" applyNumberFormat="1" applyFont="1" applyFill="1" applyAlignment="1">
      <alignment horizontal="right"/>
    </xf>
    <xf numFmtId="164" fontId="9" fillId="30" borderId="0" xfId="8" applyNumberFormat="1" applyFont="1" applyFill="1" applyBorder="1" applyAlignment="1">
      <alignment horizontal="right"/>
    </xf>
    <xf numFmtId="164" fontId="9" fillId="34" borderId="0" xfId="8" applyNumberFormat="1" applyFont="1" applyFill="1" applyBorder="1" applyAlignment="1">
      <alignment horizontal="right"/>
    </xf>
    <xf numFmtId="164" fontId="9" fillId="26" borderId="0" xfId="8" applyNumberFormat="1" applyFont="1" applyFill="1" applyBorder="1" applyAlignment="1">
      <alignment horizontal="right"/>
    </xf>
    <xf numFmtId="164" fontId="9" fillId="8" borderId="0" xfId="8" applyNumberFormat="1" applyFont="1" applyFill="1"/>
    <xf numFmtId="9" fontId="9" fillId="8" borderId="0" xfId="9" applyNumberFormat="1" applyFont="1" applyFill="1"/>
    <xf numFmtId="164" fontId="9" fillId="33" borderId="0" xfId="8" applyNumberFormat="1" applyFont="1" applyFill="1"/>
    <xf numFmtId="9" fontId="9" fillId="33" borderId="0" xfId="9" applyNumberFormat="1" applyFont="1" applyFill="1"/>
    <xf numFmtId="164" fontId="9" fillId="34" borderId="0" xfId="8" applyNumberFormat="1" applyFont="1" applyFill="1"/>
    <xf numFmtId="9" fontId="9" fillId="34" borderId="0" xfId="9" applyNumberFormat="1" applyFont="1" applyFill="1"/>
    <xf numFmtId="9" fontId="9" fillId="26" borderId="0" xfId="9" applyNumberFormat="1" applyFont="1" applyFill="1"/>
    <xf numFmtId="164" fontId="9" fillId="26" borderId="0" xfId="8" applyNumberFormat="1" applyFont="1" applyFill="1"/>
    <xf numFmtId="9" fontId="9" fillId="34" borderId="0" xfId="8" applyNumberFormat="1" applyFont="1" applyFill="1"/>
    <xf numFmtId="164" fontId="9" fillId="11" borderId="0" xfId="8" applyNumberFormat="1" applyFont="1" applyFill="1" applyBorder="1" applyAlignment="1">
      <alignment horizontal="right"/>
    </xf>
    <xf numFmtId="164" fontId="9" fillId="35" borderId="0" xfId="8" applyNumberFormat="1" applyFont="1" applyFill="1" applyBorder="1" applyAlignment="1">
      <alignment horizontal="right"/>
    </xf>
    <xf numFmtId="9" fontId="9" fillId="35" borderId="0" xfId="8" applyNumberFormat="1" applyFont="1" applyFill="1"/>
    <xf numFmtId="9" fontId="9" fillId="35" borderId="0" xfId="9" applyNumberFormat="1" applyFont="1" applyFill="1"/>
    <xf numFmtId="164" fontId="9" fillId="29" borderId="0" xfId="8" applyNumberFormat="1" applyFont="1" applyFill="1" applyBorder="1" applyAlignment="1">
      <alignment horizontal="right"/>
    </xf>
    <xf numFmtId="9" fontId="9" fillId="29" borderId="0" xfId="9" applyNumberFormat="1" applyFont="1" applyFill="1"/>
    <xf numFmtId="9" fontId="9" fillId="36" borderId="0" xfId="8" applyNumberFormat="1" applyFont="1" applyFill="1"/>
    <xf numFmtId="164" fontId="9" fillId="29" borderId="0" xfId="8" applyNumberFormat="1" applyFont="1" applyFill="1"/>
    <xf numFmtId="9" fontId="9" fillId="27" borderId="0" xfId="8" applyNumberFormat="1" applyFont="1" applyFill="1"/>
    <xf numFmtId="164" fontId="9" fillId="27" borderId="0" xfId="8" applyNumberFormat="1" applyFont="1" applyFill="1" applyBorder="1" applyAlignment="1">
      <alignment horizontal="right"/>
    </xf>
    <xf numFmtId="9" fontId="9" fillId="36" borderId="0" xfId="7" applyNumberFormat="1" applyFont="1" applyFill="1"/>
    <xf numFmtId="9" fontId="9" fillId="35" borderId="0" xfId="7" applyNumberFormat="1" applyFont="1" applyFill="1"/>
    <xf numFmtId="9" fontId="9" fillId="26" borderId="0" xfId="7" applyNumberFormat="1" applyFont="1" applyFill="1"/>
    <xf numFmtId="9" fontId="9" fillId="34" borderId="0" xfId="7" applyNumberFormat="1" applyFont="1" applyFill="1"/>
    <xf numFmtId="9" fontId="9" fillId="8" borderId="0" xfId="7" applyNumberFormat="1" applyFont="1" applyFill="1"/>
    <xf numFmtId="9" fontId="9" fillId="29" borderId="0" xfId="7" applyNumberFormat="1" applyFont="1" applyFill="1"/>
    <xf numFmtId="9" fontId="9" fillId="27" borderId="0" xfId="7" applyNumberFormat="1" applyFont="1" applyFill="1"/>
    <xf numFmtId="9" fontId="58" fillId="2" borderId="0" xfId="8" applyNumberFormat="1" applyFont="1" applyAlignment="1">
      <alignment horizontal="right"/>
    </xf>
    <xf numFmtId="9" fontId="9" fillId="20" borderId="0" xfId="5" applyFont="1" applyFill="1"/>
    <xf numFmtId="9" fontId="9" fillId="20" borderId="0" xfId="5" applyFont="1" applyFill="1" applyBorder="1" applyAlignment="1">
      <alignment horizontal="right"/>
    </xf>
    <xf numFmtId="9" fontId="9" fillId="23" borderId="0" xfId="5" applyFont="1" applyFill="1" applyBorder="1" applyAlignment="1">
      <alignment horizontal="right"/>
    </xf>
    <xf numFmtId="9" fontId="9" fillId="28" borderId="0" xfId="5" applyFont="1" applyFill="1" applyBorder="1" applyAlignment="1">
      <alignment horizontal="right"/>
    </xf>
    <xf numFmtId="9" fontId="9" fillId="30" borderId="0" xfId="5" applyFont="1" applyFill="1" applyBorder="1" applyAlignment="1">
      <alignment horizontal="right"/>
    </xf>
    <xf numFmtId="9" fontId="36" fillId="4" borderId="0" xfId="7" applyNumberFormat="1" applyFont="1" applyAlignment="1">
      <alignment horizontal="right"/>
    </xf>
    <xf numFmtId="9" fontId="36" fillId="4" borderId="0" xfId="7" applyNumberFormat="1" applyFont="1" applyBorder="1" applyAlignment="1">
      <alignment horizontal="right"/>
    </xf>
    <xf numFmtId="0" fontId="7" fillId="8" borderId="0" xfId="4" applyFont="1" applyFill="1" applyAlignment="1">
      <alignment textRotation="90"/>
    </xf>
    <xf numFmtId="0" fontId="7" fillId="8" borderId="0" xfId="8" applyFont="1" applyFill="1"/>
    <xf numFmtId="9" fontId="9" fillId="8" borderId="0" xfId="8" applyNumberFormat="1" applyFont="1" applyFill="1"/>
    <xf numFmtId="0" fontId="7" fillId="8" borderId="0" xfId="7" applyFont="1" applyFill="1" applyAlignment="1">
      <alignment horizontal="right"/>
    </xf>
    <xf numFmtId="0" fontId="7" fillId="8" borderId="0" xfId="9" applyFont="1" applyFill="1" applyAlignment="1">
      <alignment horizontal="right"/>
    </xf>
    <xf numFmtId="164" fontId="9" fillId="8" borderId="0" xfId="8" applyNumberFormat="1" applyFont="1" applyFill="1" applyAlignment="1">
      <alignment horizontal="right"/>
    </xf>
    <xf numFmtId="1" fontId="7" fillId="8" borderId="0" xfId="8" applyNumberFormat="1" applyFont="1" applyFill="1"/>
    <xf numFmtId="164" fontId="7" fillId="8" borderId="0" xfId="8" applyNumberFormat="1" applyFont="1" applyFill="1"/>
    <xf numFmtId="9" fontId="7" fillId="8" borderId="0" xfId="8" applyNumberFormat="1" applyFont="1" applyFill="1"/>
    <xf numFmtId="164" fontId="7" fillId="8" borderId="0" xfId="9" applyNumberFormat="1" applyFont="1" applyFill="1"/>
    <xf numFmtId="9" fontId="7" fillId="8" borderId="0" xfId="7" applyNumberFormat="1" applyFont="1" applyFill="1"/>
    <xf numFmtId="0" fontId="7" fillId="8" borderId="0" xfId="7" applyFont="1" applyFill="1"/>
    <xf numFmtId="164" fontId="9" fillId="8" borderId="0" xfId="8" applyNumberFormat="1" applyFont="1" applyFill="1" applyBorder="1"/>
    <xf numFmtId="0" fontId="7" fillId="8" borderId="0" xfId="3" applyFont="1" applyFill="1" applyAlignment="1"/>
    <xf numFmtId="0" fontId="7" fillId="33" borderId="0" xfId="4" applyFont="1" applyFill="1" applyAlignment="1">
      <alignment textRotation="90"/>
    </xf>
    <xf numFmtId="0" fontId="7" fillId="33" borderId="0" xfId="8" applyFont="1" applyFill="1"/>
    <xf numFmtId="9" fontId="9" fillId="33" borderId="0" xfId="8" applyNumberFormat="1" applyFont="1" applyFill="1"/>
    <xf numFmtId="0" fontId="7" fillId="33" borderId="0" xfId="7" applyFont="1" applyFill="1" applyAlignment="1">
      <alignment horizontal="right"/>
    </xf>
    <xf numFmtId="0" fontId="7" fillId="33" borderId="0" xfId="9" applyFont="1" applyFill="1" applyAlignment="1">
      <alignment horizontal="right"/>
    </xf>
    <xf numFmtId="164" fontId="9" fillId="33" borderId="0" xfId="8" applyNumberFormat="1" applyFont="1" applyFill="1" applyAlignment="1">
      <alignment horizontal="right"/>
    </xf>
    <xf numFmtId="1" fontId="7" fillId="33" borderId="0" xfId="8" applyNumberFormat="1" applyFont="1" applyFill="1"/>
    <xf numFmtId="164" fontId="7" fillId="33" borderId="0" xfId="8" applyNumberFormat="1" applyFont="1" applyFill="1"/>
    <xf numFmtId="9" fontId="7" fillId="33" borderId="0" xfId="8" applyNumberFormat="1" applyFont="1" applyFill="1"/>
    <xf numFmtId="164" fontId="7" fillId="33" borderId="0" xfId="9" applyNumberFormat="1" applyFont="1" applyFill="1"/>
    <xf numFmtId="9" fontId="7" fillId="33" borderId="0" xfId="7" applyNumberFormat="1" applyFont="1" applyFill="1"/>
    <xf numFmtId="0" fontId="7" fillId="33" borderId="0" xfId="7" applyFont="1" applyFill="1"/>
    <xf numFmtId="164" fontId="9" fillId="33" borderId="0" xfId="8" applyNumberFormat="1" applyFont="1" applyFill="1" applyBorder="1"/>
    <xf numFmtId="0" fontId="7" fillId="33" borderId="0" xfId="3" applyFont="1" applyFill="1" applyAlignment="1"/>
    <xf numFmtId="0" fontId="7" fillId="8" borderId="0" xfId="4" applyFont="1" applyFill="1"/>
    <xf numFmtId="164" fontId="9" fillId="8" borderId="0" xfId="9" applyNumberFormat="1" applyFont="1" applyFill="1"/>
    <xf numFmtId="164" fontId="8" fillId="8" borderId="0" xfId="8" applyNumberFormat="1" applyFont="1" applyFill="1"/>
    <xf numFmtId="0" fontId="7" fillId="8" borderId="0" xfId="9" applyFont="1" applyFill="1"/>
    <xf numFmtId="164" fontId="9" fillId="8" borderId="0" xfId="8" applyNumberFormat="1" applyFont="1" applyFill="1" applyBorder="1" applyAlignment="1">
      <alignment horizontal="right"/>
    </xf>
    <xf numFmtId="0" fontId="7" fillId="33" borderId="0" xfId="4" applyFont="1" applyFill="1"/>
    <xf numFmtId="164" fontId="9" fillId="33" borderId="0" xfId="9" applyNumberFormat="1" applyFont="1" applyFill="1"/>
    <xf numFmtId="164" fontId="8" fillId="33" borderId="0" xfId="8" applyNumberFormat="1" applyFont="1" applyFill="1"/>
    <xf numFmtId="0" fontId="7" fillId="33" borderId="0" xfId="9" applyFont="1" applyFill="1"/>
    <xf numFmtId="164" fontId="9" fillId="33" borderId="0" xfId="8" applyNumberFormat="1" applyFont="1" applyFill="1" applyBorder="1" applyAlignment="1">
      <alignment horizontal="right"/>
    </xf>
    <xf numFmtId="9" fontId="9" fillId="33" borderId="0" xfId="7" applyNumberFormat="1" applyFont="1" applyFill="1"/>
    <xf numFmtId="9" fontId="9" fillId="36" borderId="0" xfId="9" applyNumberFormat="1" applyFont="1" applyFill="1"/>
    <xf numFmtId="164" fontId="9" fillId="36" borderId="0" xfId="8" applyNumberFormat="1" applyFont="1" applyFill="1"/>
    <xf numFmtId="164" fontId="9" fillId="36" borderId="0" xfId="9" applyNumberFormat="1" applyFont="1" applyFill="1"/>
    <xf numFmtId="0" fontId="18" fillId="8" borderId="0" xfId="0" applyFont="1" applyFill="1" applyBorder="1"/>
    <xf numFmtId="9" fontId="52" fillId="8" borderId="0" xfId="8" applyNumberFormat="1" applyFont="1" applyFill="1" applyAlignment="1">
      <alignment horizontal="right"/>
    </xf>
    <xf numFmtId="9" fontId="52" fillId="33" borderId="0" xfId="8" applyNumberFormat="1" applyFont="1" applyFill="1" applyAlignment="1">
      <alignment horizontal="right"/>
    </xf>
    <xf numFmtId="0" fontId="33" fillId="8" borderId="0" xfId="7" applyFont="1" applyFill="1" applyAlignment="1">
      <alignment horizontal="right"/>
    </xf>
    <xf numFmtId="164" fontId="44" fillId="8" borderId="0" xfId="9" applyNumberFormat="1" applyFont="1" applyFill="1" applyAlignment="1">
      <alignment horizontal="right"/>
    </xf>
    <xf numFmtId="0" fontId="33" fillId="33" borderId="0" xfId="7" applyFont="1" applyFill="1" applyAlignment="1">
      <alignment horizontal="right"/>
    </xf>
    <xf numFmtId="164" fontId="44" fillId="33" borderId="0" xfId="9" applyNumberFormat="1" applyFont="1" applyFill="1" applyAlignment="1">
      <alignment horizontal="right"/>
    </xf>
    <xf numFmtId="164" fontId="9" fillId="35" borderId="0" xfId="8" applyNumberFormat="1" applyFont="1" applyFill="1"/>
    <xf numFmtId="9" fontId="35" fillId="2" borderId="0" xfId="8" applyNumberFormat="1" applyFont="1" applyAlignment="1">
      <alignment horizontal="right"/>
    </xf>
    <xf numFmtId="0" fontId="7" fillId="0" borderId="0" xfId="8" applyFont="1" applyFill="1" applyAlignment="1">
      <alignment horizontal="right"/>
    </xf>
    <xf numFmtId="0" fontId="33" fillId="0" borderId="0" xfId="8" applyFont="1" applyFill="1" applyAlignment="1">
      <alignment horizontal="right"/>
    </xf>
    <xf numFmtId="0" fontId="44" fillId="0" borderId="0" xfId="8" applyFont="1" applyFill="1" applyAlignment="1">
      <alignment horizontal="right"/>
    </xf>
    <xf numFmtId="0" fontId="7" fillId="0" borderId="0" xfId="3" quotePrefix="1" applyFont="1" applyFill="1" applyAlignment="1">
      <alignment horizontal="right"/>
    </xf>
    <xf numFmtId="0" fontId="7" fillId="0" borderId="10" xfId="4" applyFont="1" applyFill="1" applyBorder="1"/>
    <xf numFmtId="0" fontId="7" fillId="0" borderId="10" xfId="8" applyFont="1" applyFill="1" applyBorder="1"/>
    <xf numFmtId="9" fontId="9" fillId="0" borderId="10" xfId="9" applyNumberFormat="1" applyFont="1" applyFill="1" applyBorder="1"/>
    <xf numFmtId="0" fontId="7" fillId="0" borderId="10" xfId="7" applyFont="1" applyFill="1" applyBorder="1"/>
    <xf numFmtId="164" fontId="9" fillId="0" borderId="10" xfId="8" applyNumberFormat="1" applyFont="1" applyFill="1" applyBorder="1" applyAlignment="1">
      <alignment horizontal="right"/>
    </xf>
    <xf numFmtId="0" fontId="7" fillId="6" borderId="10" xfId="3" applyFont="1" applyFill="1" applyBorder="1"/>
    <xf numFmtId="1" fontId="7" fillId="0" borderId="10" xfId="8" applyNumberFormat="1" applyFont="1" applyFill="1" applyBorder="1"/>
    <xf numFmtId="164" fontId="9" fillId="0" borderId="10" xfId="8" applyNumberFormat="1" applyFont="1" applyFill="1" applyBorder="1"/>
    <xf numFmtId="164" fontId="7" fillId="0" borderId="10" xfId="8" applyNumberFormat="1" applyFont="1" applyFill="1" applyBorder="1"/>
    <xf numFmtId="164" fontId="8" fillId="0" borderId="10" xfId="8" applyNumberFormat="1" applyFont="1" applyFill="1" applyBorder="1"/>
    <xf numFmtId="9" fontId="7" fillId="0" borderId="10" xfId="8" applyNumberFormat="1" applyFont="1" applyFill="1" applyBorder="1"/>
    <xf numFmtId="164" fontId="7" fillId="0" borderId="10" xfId="9" applyNumberFormat="1" applyFont="1" applyFill="1" applyBorder="1"/>
    <xf numFmtId="9" fontId="9" fillId="0" borderId="10" xfId="8" applyNumberFormat="1" applyFont="1" applyFill="1" applyBorder="1"/>
    <xf numFmtId="9" fontId="7" fillId="0" borderId="10" xfId="7" applyNumberFormat="1" applyFont="1" applyFill="1" applyBorder="1"/>
    <xf numFmtId="0" fontId="7" fillId="0" borderId="10" xfId="9" applyFont="1" applyFill="1" applyBorder="1"/>
    <xf numFmtId="9" fontId="9" fillId="0" borderId="10" xfId="7" applyNumberFormat="1" applyFont="1" applyFill="1" applyBorder="1"/>
    <xf numFmtId="0" fontId="6" fillId="6" borderId="10" xfId="3" applyFont="1" applyFill="1" applyBorder="1"/>
    <xf numFmtId="0" fontId="7" fillId="0" borderId="10" xfId="3" applyFont="1" applyFill="1" applyBorder="1" applyAlignment="1"/>
    <xf numFmtId="0" fontId="7" fillId="0" borderId="10" xfId="3" applyFont="1" applyFill="1" applyBorder="1"/>
    <xf numFmtId="0" fontId="8" fillId="0" borderId="10" xfId="3" applyFont="1" applyFill="1" applyBorder="1"/>
    <xf numFmtId="9" fontId="9" fillId="0" borderId="10" xfId="8" applyNumberFormat="1" applyFont="1" applyFill="1" applyBorder="1" applyAlignment="1">
      <alignment horizontal="right"/>
    </xf>
    <xf numFmtId="9" fontId="52" fillId="0" borderId="0" xfId="8" applyNumberFormat="1" applyFont="1" applyFill="1" applyAlignment="1">
      <alignment horizontal="right"/>
    </xf>
    <xf numFmtId="9" fontId="53" fillId="0" borderId="0" xfId="7" applyNumberFormat="1" applyFont="1" applyFill="1"/>
    <xf numFmtId="9" fontId="53" fillId="0" borderId="0" xfId="7" applyNumberFormat="1" applyFont="1" applyFill="1" applyAlignment="1">
      <alignment horizontal="right"/>
    </xf>
    <xf numFmtId="9" fontId="16" fillId="36" borderId="0" xfId="9" applyNumberFormat="1" applyFont="1" applyFill="1"/>
    <xf numFmtId="9" fontId="9" fillId="36" borderId="10" xfId="9" applyNumberFormat="1" applyFont="1" applyFill="1" applyBorder="1"/>
    <xf numFmtId="164" fontId="9" fillId="36" borderId="0" xfId="8" applyNumberFormat="1" applyFont="1" applyFill="1" applyBorder="1" applyAlignment="1">
      <alignment horizontal="right"/>
    </xf>
    <xf numFmtId="9" fontId="36" fillId="4" borderId="10" xfId="7" applyNumberFormat="1" applyFont="1" applyBorder="1"/>
    <xf numFmtId="9" fontId="54" fillId="2" borderId="0" xfId="8" applyNumberFormat="1" applyFont="1"/>
    <xf numFmtId="9" fontId="54" fillId="2" borderId="10" xfId="8" applyNumberFormat="1" applyFont="1" applyBorder="1"/>
    <xf numFmtId="0" fontId="32" fillId="0" borderId="1" xfId="2" applyFont="1" applyFill="1" applyBorder="1" applyAlignment="1">
      <alignment horizontal="center"/>
    </xf>
    <xf numFmtId="164" fontId="59" fillId="0" borderId="0" xfId="9" applyNumberFormat="1" applyFont="1" applyFill="1"/>
    <xf numFmtId="164" fontId="59" fillId="15" borderId="0" xfId="9" applyNumberFormat="1" applyFont="1" applyFill="1"/>
    <xf numFmtId="164" fontId="59" fillId="15" borderId="0" xfId="7" applyNumberFormat="1" applyFont="1" applyFill="1"/>
    <xf numFmtId="164" fontId="59" fillId="15" borderId="0" xfId="8" applyNumberFormat="1" applyFont="1" applyFill="1"/>
    <xf numFmtId="164" fontId="59" fillId="13" borderId="0" xfId="9" applyNumberFormat="1" applyFont="1" applyFill="1"/>
    <xf numFmtId="164" fontId="59" fillId="13" borderId="0" xfId="8" applyNumberFormat="1" applyFont="1" applyFill="1"/>
    <xf numFmtId="164" fontId="59" fillId="14" borderId="0" xfId="9" applyNumberFormat="1" applyFont="1" applyFill="1"/>
    <xf numFmtId="164" fontId="59" fillId="14" borderId="0" xfId="7" applyNumberFormat="1" applyFont="1" applyFill="1"/>
    <xf numFmtId="164" fontId="59" fillId="21" borderId="0" xfId="8" applyNumberFormat="1" applyFont="1" applyFill="1"/>
    <xf numFmtId="164" fontId="59" fillId="20" borderId="0" xfId="8" applyNumberFormat="1" applyFont="1" applyFill="1"/>
    <xf numFmtId="164" fontId="59" fillId="23" borderId="0" xfId="8" applyNumberFormat="1" applyFont="1" applyFill="1"/>
    <xf numFmtId="164" fontId="59" fillId="28" borderId="0" xfId="8" applyNumberFormat="1" applyFont="1" applyFill="1"/>
    <xf numFmtId="164" fontId="59" fillId="30" borderId="0" xfId="8" applyNumberFormat="1" applyFont="1" applyFill="1"/>
    <xf numFmtId="164" fontId="59" fillId="8" borderId="0" xfId="8" applyNumberFormat="1" applyFont="1" applyFill="1"/>
    <xf numFmtId="164" fontId="59" fillId="0" borderId="0" xfId="7" applyNumberFormat="1" applyFont="1" applyFill="1"/>
    <xf numFmtId="164" fontId="59" fillId="0" borderId="0" xfId="8" applyNumberFormat="1" applyFont="1" applyFill="1"/>
    <xf numFmtId="164" fontId="36" fillId="4" borderId="0" xfId="7" applyNumberFormat="1" applyFont="1" applyBorder="1"/>
    <xf numFmtId="164" fontId="9" fillId="13" borderId="0" xfId="8" applyNumberFormat="1" applyFont="1" applyFill="1" applyBorder="1"/>
    <xf numFmtId="164" fontId="35" fillId="2" borderId="0" xfId="8" applyNumberFormat="1" applyFont="1" applyBorder="1"/>
    <xf numFmtId="0" fontId="34" fillId="2" borderId="4" xfId="8" applyFont="1" applyBorder="1" applyAlignment="1">
      <alignment horizontal="center"/>
    </xf>
    <xf numFmtId="0" fontId="28" fillId="3" borderId="4" xfId="2" applyFont="1" applyBorder="1" applyAlignment="1">
      <alignment horizontal="center"/>
    </xf>
    <xf numFmtId="0" fontId="31" fillId="2" borderId="4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7" applyFont="1" applyFill="1" applyBorder="1"/>
    <xf numFmtId="9" fontId="7" fillId="0" borderId="0" xfId="7" applyNumberFormat="1" applyFont="1" applyFill="1" applyAlignment="1">
      <alignment horizontal="right"/>
    </xf>
    <xf numFmtId="167" fontId="35" fillId="2" borderId="0" xfId="13" applyNumberFormat="1" applyFont="1" applyFill="1"/>
    <xf numFmtId="167" fontId="55" fillId="2" borderId="0" xfId="13" applyNumberFormat="1" applyFont="1" applyFill="1"/>
    <xf numFmtId="164" fontId="61" fillId="3" borderId="0" xfId="9" applyNumberFormat="1" applyFont="1" applyBorder="1"/>
    <xf numFmtId="164" fontId="62" fillId="3" borderId="0" xfId="9" applyNumberFormat="1" applyFont="1" applyBorder="1"/>
    <xf numFmtId="9" fontId="61" fillId="3" borderId="0" xfId="9" applyNumberFormat="1" applyFont="1" applyBorder="1"/>
    <xf numFmtId="0" fontId="38" fillId="0" borderId="10" xfId="2" applyFont="1" applyFill="1" applyBorder="1"/>
    <xf numFmtId="0" fontId="38" fillId="0" borderId="10" xfId="7" applyFont="1" applyFill="1" applyBorder="1"/>
    <xf numFmtId="9" fontId="41" fillId="3" borderId="10" xfId="9" applyNumberFormat="1" applyFont="1" applyBorder="1"/>
    <xf numFmtId="0" fontId="38" fillId="0" borderId="10" xfId="8" applyFont="1" applyFill="1" applyBorder="1"/>
    <xf numFmtId="0" fontId="38" fillId="18" borderId="10" xfId="3" applyFont="1" applyFill="1" applyBorder="1"/>
    <xf numFmtId="164" fontId="41" fillId="2" borderId="10" xfId="8" applyNumberFormat="1" applyFont="1" applyBorder="1"/>
    <xf numFmtId="164" fontId="39" fillId="3" borderId="10" xfId="9" applyNumberFormat="1" applyFont="1" applyBorder="1"/>
    <xf numFmtId="9" fontId="41" fillId="16" borderId="10" xfId="8" applyNumberFormat="1" applyFont="1" applyFill="1" applyBorder="1"/>
    <xf numFmtId="0" fontId="38" fillId="0" borderId="10" xfId="9" applyFont="1" applyFill="1" applyBorder="1"/>
    <xf numFmtId="1" fontId="38" fillId="0" borderId="10" xfId="9" applyNumberFormat="1" applyFont="1" applyFill="1" applyBorder="1"/>
    <xf numFmtId="9" fontId="39" fillId="3" borderId="10" xfId="9" applyNumberFormat="1" applyFont="1" applyBorder="1"/>
    <xf numFmtId="9" fontId="39" fillId="2" borderId="10" xfId="8" applyNumberFormat="1" applyFont="1" applyBorder="1"/>
    <xf numFmtId="9" fontId="8" fillId="0" borderId="10" xfId="7" applyNumberFormat="1" applyFont="1" applyFill="1" applyBorder="1" applyAlignment="1">
      <alignment horizontal="right"/>
    </xf>
    <xf numFmtId="164" fontId="40" fillId="0" borderId="10" xfId="8" applyNumberFormat="1" applyFont="1" applyFill="1" applyBorder="1" applyAlignment="1">
      <alignment horizontal="right"/>
    </xf>
    <xf numFmtId="0" fontId="38" fillId="6" borderId="10" xfId="3" applyFont="1" applyFill="1" applyBorder="1"/>
    <xf numFmtId="9" fontId="38" fillId="0" borderId="10" xfId="9" applyNumberFormat="1" applyFont="1" applyFill="1" applyBorder="1"/>
    <xf numFmtId="0" fontId="38" fillId="0" borderId="10" xfId="3" applyFont="1" applyFill="1" applyBorder="1" applyAlignment="1"/>
    <xf numFmtId="164" fontId="41" fillId="17" borderId="10" xfId="9" applyNumberFormat="1" applyFont="1" applyFill="1" applyBorder="1"/>
    <xf numFmtId="164" fontId="63" fillId="2" borderId="10" xfId="8" applyNumberFormat="1" applyFont="1" applyBorder="1"/>
    <xf numFmtId="1" fontId="38" fillId="0" borderId="10" xfId="7" applyNumberFormat="1" applyFont="1" applyFill="1" applyBorder="1"/>
    <xf numFmtId="0" fontId="38" fillId="0" borderId="10" xfId="7" applyFont="1" applyFill="1" applyBorder="1" applyAlignment="1">
      <alignment horizontal="right"/>
    </xf>
    <xf numFmtId="0" fontId="38" fillId="0" borderId="10" xfId="9" applyFont="1" applyFill="1" applyBorder="1" applyAlignment="1">
      <alignment horizontal="right"/>
    </xf>
    <xf numFmtId="1" fontId="38" fillId="0" borderId="10" xfId="8" applyNumberFormat="1" applyFont="1" applyFill="1" applyBorder="1"/>
    <xf numFmtId="0" fontId="38" fillId="0" borderId="10" xfId="8" applyFont="1" applyFill="1" applyBorder="1" applyAlignment="1">
      <alignment horizontal="right"/>
    </xf>
    <xf numFmtId="164" fontId="39" fillId="2" borderId="10" xfId="8" applyNumberFormat="1" applyFont="1" applyBorder="1"/>
    <xf numFmtId="164" fontId="49" fillId="0" borderId="10" xfId="9" applyNumberFormat="1" applyFont="1" applyFill="1" applyBorder="1"/>
    <xf numFmtId="1" fontId="39" fillId="0" borderId="10" xfId="9" applyNumberFormat="1" applyFont="1" applyFill="1" applyBorder="1"/>
    <xf numFmtId="1" fontId="39" fillId="0" borderId="10" xfId="8" applyNumberFormat="1" applyFont="1" applyFill="1" applyBorder="1"/>
    <xf numFmtId="164" fontId="41" fillId="17" borderId="10" xfId="9" applyNumberFormat="1" applyFont="1" applyFill="1" applyBorder="1" applyAlignment="1">
      <alignment horizontal="right"/>
    </xf>
    <xf numFmtId="9" fontId="39" fillId="17" borderId="0" xfId="9" applyNumberFormat="1" applyFont="1" applyFill="1" applyBorder="1"/>
    <xf numFmtId="9" fontId="39" fillId="16" borderId="10" xfId="8" applyNumberFormat="1" applyFont="1" applyFill="1" applyBorder="1"/>
    <xf numFmtId="9" fontId="34" fillId="2" borderId="0" xfId="8" applyNumberFormat="1" applyFont="1"/>
    <xf numFmtId="9" fontId="62" fillId="3" borderId="0" xfId="9" applyNumberFormat="1" applyFont="1" applyBorder="1"/>
    <xf numFmtId="164" fontId="52" fillId="0" borderId="0" xfId="9" applyNumberFormat="1" applyFont="1" applyFill="1" applyBorder="1" applyAlignment="1">
      <alignment horizontal="right"/>
    </xf>
    <xf numFmtId="164" fontId="41" fillId="0" borderId="10" xfId="9" applyNumberFormat="1" applyFont="1" applyFill="1" applyBorder="1" applyAlignment="1">
      <alignment horizontal="right"/>
    </xf>
    <xf numFmtId="0" fontId="64" fillId="5" borderId="14" xfId="11" applyFont="1" applyAlignment="1">
      <alignment horizontal="center"/>
    </xf>
    <xf numFmtId="0" fontId="65" fillId="4" borderId="6" xfId="7" applyFont="1" applyBorder="1" applyAlignment="1">
      <alignment horizontal="center"/>
    </xf>
    <xf numFmtId="0" fontId="65" fillId="4" borderId="1" xfId="7" applyFont="1" applyBorder="1" applyAlignment="1">
      <alignment horizontal="center"/>
    </xf>
    <xf numFmtId="0" fontId="29" fillId="2" borderId="2" xfId="1" applyFont="1" applyBorder="1" applyAlignment="1">
      <alignment horizontal="center"/>
    </xf>
    <xf numFmtId="0" fontId="29" fillId="2" borderId="6" xfId="1" applyFont="1" applyBorder="1" applyAlignment="1">
      <alignment horizontal="center"/>
    </xf>
    <xf numFmtId="0" fontId="29" fillId="2" borderId="1" xfId="1" applyFont="1" applyBorder="1" applyAlignment="1">
      <alignment horizontal="center"/>
    </xf>
    <xf numFmtId="0" fontId="29" fillId="2" borderId="4" xfId="1" applyFont="1" applyBorder="1" applyAlignment="1">
      <alignment horizontal="center"/>
    </xf>
    <xf numFmtId="0" fontId="28" fillId="3" borderId="2" xfId="2" applyFont="1" applyBorder="1" applyAlignment="1">
      <alignment horizontal="center" textRotation="90"/>
    </xf>
    <xf numFmtId="0" fontId="28" fillId="3" borderId="6" xfId="2" applyFont="1" applyBorder="1" applyAlignment="1">
      <alignment horizontal="center" textRotation="90"/>
    </xf>
    <xf numFmtId="0" fontId="28" fillId="3" borderId="4" xfId="2" applyFont="1" applyBorder="1" applyAlignment="1">
      <alignment horizontal="center" textRotation="90"/>
    </xf>
    <xf numFmtId="0" fontId="7" fillId="0" borderId="0" xfId="2" applyFont="1" applyFill="1" applyBorder="1" applyAlignment="1">
      <alignment horizontal="center" textRotation="90"/>
    </xf>
    <xf numFmtId="0" fontId="29" fillId="2" borderId="4" xfId="1" applyFont="1" applyBorder="1" applyAlignment="1">
      <alignment horizontal="center" textRotation="90"/>
    </xf>
    <xf numFmtId="0" fontId="29" fillId="2" borderId="1" xfId="1" applyFont="1" applyBorder="1" applyAlignment="1">
      <alignment horizontal="center" textRotation="90"/>
    </xf>
    <xf numFmtId="0" fontId="29" fillId="2" borderId="2" xfId="1" applyFont="1" applyBorder="1" applyAlignment="1">
      <alignment horizontal="center" textRotation="90"/>
    </xf>
    <xf numFmtId="0" fontId="30" fillId="4" borderId="6" xfId="7" applyFont="1" applyBorder="1" applyAlignment="1">
      <alignment horizontal="center"/>
    </xf>
    <xf numFmtId="9" fontId="7" fillId="0" borderId="1" xfId="5" applyFont="1" applyFill="1" applyBorder="1" applyAlignment="1">
      <alignment horizontal="center"/>
    </xf>
    <xf numFmtId="0" fontId="66" fillId="3" borderId="2" xfId="2" applyFont="1" applyBorder="1" applyAlignment="1">
      <alignment horizontal="center"/>
    </xf>
    <xf numFmtId="0" fontId="66" fillId="3" borderId="6" xfId="2" applyFont="1" applyBorder="1" applyAlignment="1">
      <alignment horizontal="center"/>
    </xf>
    <xf numFmtId="0" fontId="66" fillId="3" borderId="1" xfId="2" applyFont="1" applyBorder="1" applyAlignment="1">
      <alignment horizontal="center"/>
    </xf>
    <xf numFmtId="0" fontId="66" fillId="3" borderId="4" xfId="2" applyFont="1" applyBorder="1" applyAlignment="1">
      <alignment horizontal="center"/>
    </xf>
    <xf numFmtId="0" fontId="66" fillId="3" borderId="4" xfId="2" applyFont="1" applyBorder="1" applyAlignment="1">
      <alignment horizontal="center" textRotation="90"/>
    </xf>
    <xf numFmtId="0" fontId="66" fillId="3" borderId="1" xfId="2" applyFont="1" applyBorder="1" applyAlignment="1">
      <alignment horizontal="center" textRotation="90"/>
    </xf>
    <xf numFmtId="0" fontId="31" fillId="2" borderId="2" xfId="1" applyFont="1" applyBorder="1" applyAlignment="1">
      <alignment horizontal="center" textRotation="90"/>
    </xf>
    <xf numFmtId="0" fontId="31" fillId="2" borderId="6" xfId="1" applyFont="1" applyBorder="1" applyAlignment="1">
      <alignment horizontal="center" textRotation="90"/>
    </xf>
    <xf numFmtId="0" fontId="31" fillId="2" borderId="4" xfId="1" applyFont="1" applyBorder="1" applyAlignment="1">
      <alignment horizontal="center" textRotation="90"/>
    </xf>
    <xf numFmtId="0" fontId="66" fillId="3" borderId="2" xfId="2" applyFont="1" applyBorder="1" applyAlignment="1">
      <alignment horizontal="center" textRotation="90"/>
    </xf>
    <xf numFmtId="165" fontId="7" fillId="0" borderId="0" xfId="3" applyNumberFormat="1" applyFont="1" applyFill="1"/>
    <xf numFmtId="0" fontId="7" fillId="10" borderId="0" xfId="3" applyFont="1" applyFill="1" applyBorder="1" applyAlignment="1">
      <alignment textRotation="90"/>
    </xf>
    <xf numFmtId="0" fontId="60" fillId="3" borderId="2" xfId="9" applyFont="1" applyBorder="1" applyAlignment="1">
      <alignment horizontal="center"/>
    </xf>
    <xf numFmtId="0" fontId="60" fillId="3" borderId="6" xfId="9" applyFont="1" applyBorder="1" applyAlignment="1">
      <alignment horizontal="center"/>
    </xf>
    <xf numFmtId="0" fontId="60" fillId="3" borderId="1" xfId="9" applyFont="1" applyBorder="1" applyAlignment="1">
      <alignment horizontal="center"/>
    </xf>
    <xf numFmtId="0" fontId="60" fillId="3" borderId="4" xfId="9" applyFont="1" applyBorder="1" applyAlignment="1">
      <alignment horizontal="center"/>
    </xf>
    <xf numFmtId="0" fontId="60" fillId="3" borderId="2" xfId="9" applyFont="1" applyBorder="1" applyAlignment="1">
      <alignment horizontal="center" textRotation="90"/>
    </xf>
    <xf numFmtId="0" fontId="60" fillId="3" borderId="6" xfId="9" applyFont="1" applyBorder="1" applyAlignment="1">
      <alignment horizontal="center" textRotation="90"/>
    </xf>
    <xf numFmtId="0" fontId="60" fillId="3" borderId="1" xfId="9" applyFont="1" applyBorder="1" applyAlignment="1">
      <alignment horizontal="center" textRotation="90"/>
    </xf>
    <xf numFmtId="0" fontId="60" fillId="3" borderId="4" xfId="9" applyFont="1" applyBorder="1" applyAlignment="1">
      <alignment horizontal="center" textRotation="90"/>
    </xf>
    <xf numFmtId="0" fontId="7" fillId="15" borderId="1" xfId="0" applyFont="1" applyFill="1" applyBorder="1" applyAlignment="1">
      <alignment horizontal="center"/>
    </xf>
    <xf numFmtId="164" fontId="32" fillId="0" borderId="1" xfId="1" applyNumberFormat="1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" xfId="0" applyFont="1" applyBorder="1" applyAlignment="1">
      <alignment horizontal="right"/>
    </xf>
    <xf numFmtId="0" fontId="10" fillId="0" borderId="9" xfId="0" applyFont="1" applyBorder="1"/>
    <xf numFmtId="0" fontId="10" fillId="0" borderId="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0" xfId="0" applyFont="1" applyBorder="1"/>
    <xf numFmtId="0" fontId="6" fillId="0" borderId="9" xfId="0" applyFont="1" applyBorder="1"/>
    <xf numFmtId="0" fontId="31" fillId="2" borderId="9" xfId="1" applyFont="1" applyBorder="1" applyAlignment="1">
      <alignment horizontal="center"/>
    </xf>
    <xf numFmtId="0" fontId="31" fillId="2" borderId="0" xfId="1" applyFont="1" applyBorder="1" applyAlignment="1">
      <alignment horizontal="center"/>
    </xf>
    <xf numFmtId="0" fontId="66" fillId="3" borderId="9" xfId="2" applyFont="1" applyBorder="1" applyAlignment="1">
      <alignment horizontal="center"/>
    </xf>
    <xf numFmtId="0" fontId="66" fillId="3" borderId="0" xfId="2" applyFont="1" applyBorder="1" applyAlignment="1">
      <alignment horizontal="center"/>
    </xf>
    <xf numFmtId="0" fontId="67" fillId="4" borderId="9" xfId="4" applyFont="1" applyBorder="1" applyAlignment="1">
      <alignment horizontal="center"/>
    </xf>
    <xf numFmtId="0" fontId="67" fillId="4" borderId="0" xfId="4" applyFont="1" applyBorder="1" applyAlignment="1">
      <alignment horizontal="center"/>
    </xf>
    <xf numFmtId="0" fontId="31" fillId="2" borderId="10" xfId="1" applyFont="1" applyBorder="1" applyAlignment="1">
      <alignment horizontal="center"/>
    </xf>
    <xf numFmtId="1" fontId="9" fillId="0" borderId="10" xfId="1" applyNumberFormat="1" applyFont="1" applyFill="1" applyBorder="1"/>
    <xf numFmtId="0" fontId="9" fillId="0" borderId="9" xfId="1" applyFont="1" applyFill="1" applyBorder="1" applyAlignment="1">
      <alignment horizontal="center"/>
    </xf>
    <xf numFmtId="0" fontId="9" fillId="0" borderId="0" xfId="4" applyFont="1" applyFill="1" applyBorder="1" applyAlignment="1">
      <alignment horizontal="center"/>
    </xf>
    <xf numFmtId="0" fontId="9" fillId="0" borderId="9" xfId="4" applyFont="1" applyFill="1" applyBorder="1" applyAlignment="1">
      <alignment horizontal="center"/>
    </xf>
    <xf numFmtId="0" fontId="9" fillId="0" borderId="10" xfId="4" applyFont="1" applyFill="1" applyBorder="1" applyAlignment="1">
      <alignment horizontal="center"/>
    </xf>
    <xf numFmtId="0" fontId="9" fillId="0" borderId="10" xfId="2" applyFont="1" applyFill="1" applyBorder="1" applyAlignment="1">
      <alignment horizontal="center"/>
    </xf>
    <xf numFmtId="1" fontId="9" fillId="0" borderId="10" xfId="0" applyNumberFormat="1" applyFont="1" applyFill="1" applyBorder="1"/>
    <xf numFmtId="0" fontId="9" fillId="0" borderId="0" xfId="2" applyFont="1" applyFill="1" applyBorder="1" applyAlignment="1">
      <alignment horizontal="center"/>
    </xf>
    <xf numFmtId="1" fontId="9" fillId="0" borderId="10" xfId="4" applyNumberFormat="1" applyFont="1" applyFill="1" applyBorder="1"/>
    <xf numFmtId="9" fontId="9" fillId="0" borderId="9" xfId="5" applyFont="1" applyFill="1" applyBorder="1" applyAlignment="1">
      <alignment horizontal="center"/>
    </xf>
    <xf numFmtId="9" fontId="31" fillId="2" borderId="0" xfId="1" applyNumberFormat="1" applyFont="1" applyBorder="1" applyAlignment="1">
      <alignment horizontal="center"/>
    </xf>
    <xf numFmtId="9" fontId="9" fillId="0" borderId="0" xfId="2" applyNumberFormat="1" applyFont="1" applyFill="1" applyBorder="1" applyAlignment="1">
      <alignment horizontal="center"/>
    </xf>
    <xf numFmtId="9" fontId="9" fillId="0" borderId="9" xfId="4" applyNumberFormat="1" applyFont="1" applyFill="1" applyBorder="1" applyAlignment="1">
      <alignment horizontal="center"/>
    </xf>
    <xf numFmtId="9" fontId="9" fillId="0" borderId="0" xfId="1" applyNumberFormat="1" applyFont="1" applyFill="1" applyBorder="1" applyAlignment="1">
      <alignment horizontal="center"/>
    </xf>
    <xf numFmtId="9" fontId="9" fillId="0" borderId="9" xfId="1" applyNumberFormat="1" applyFont="1" applyFill="1" applyBorder="1" applyAlignment="1">
      <alignment horizontal="center"/>
    </xf>
    <xf numFmtId="9" fontId="9" fillId="0" borderId="10" xfId="1" applyNumberFormat="1" applyFont="1" applyFill="1" applyBorder="1" applyAlignment="1">
      <alignment horizontal="center"/>
    </xf>
    <xf numFmtId="9" fontId="9" fillId="0" borderId="10" xfId="2" applyNumberFormat="1" applyFont="1" applyFill="1" applyBorder="1" applyAlignment="1">
      <alignment horizontal="center"/>
    </xf>
    <xf numFmtId="9" fontId="9" fillId="0" borderId="10" xfId="4" applyNumberFormat="1" applyFont="1" applyFill="1" applyBorder="1"/>
    <xf numFmtId="164" fontId="9" fillId="0" borderId="9" xfId="4" applyNumberFormat="1" applyFont="1" applyFill="1" applyBorder="1" applyAlignment="1">
      <alignment horizontal="center"/>
    </xf>
    <xf numFmtId="164" fontId="9" fillId="0" borderId="0" xfId="4" applyNumberFormat="1" applyFont="1" applyFill="1" applyBorder="1" applyAlignment="1">
      <alignment horizontal="center"/>
    </xf>
    <xf numFmtId="164" fontId="9" fillId="0" borderId="9" xfId="1" applyNumberFormat="1" applyFont="1" applyFill="1" applyBorder="1" applyAlignment="1">
      <alignment horizontal="center"/>
    </xf>
    <xf numFmtId="164" fontId="9" fillId="0" borderId="10" xfId="4" applyNumberFormat="1" applyFont="1" applyFill="1" applyBorder="1" applyAlignment="1">
      <alignment horizontal="center"/>
    </xf>
    <xf numFmtId="164" fontId="9" fillId="0" borderId="10" xfId="2" applyNumberFormat="1" applyFont="1" applyFill="1" applyBorder="1" applyAlignment="1">
      <alignment horizontal="center"/>
    </xf>
    <xf numFmtId="164" fontId="9" fillId="0" borderId="10" xfId="1" applyNumberFormat="1" applyFont="1" applyFill="1" applyBorder="1"/>
    <xf numFmtId="0" fontId="6" fillId="0" borderId="7" xfId="0" applyFont="1" applyBorder="1"/>
    <xf numFmtId="164" fontId="9" fillId="0" borderId="7" xfId="4" applyNumberFormat="1" applyFont="1" applyFill="1" applyBorder="1" applyAlignment="1">
      <alignment horizontal="center"/>
    </xf>
    <xf numFmtId="164" fontId="9" fillId="0" borderId="4" xfId="4" applyNumberFormat="1" applyFont="1" applyFill="1" applyBorder="1" applyAlignment="1">
      <alignment horizontal="center"/>
    </xf>
    <xf numFmtId="164" fontId="9" fillId="0" borderId="2" xfId="4" applyNumberFormat="1" applyFont="1" applyFill="1" applyBorder="1" applyAlignment="1">
      <alignment horizontal="center"/>
    </xf>
    <xf numFmtId="164" fontId="9" fillId="0" borderId="2" xfId="4" applyNumberFormat="1" applyFont="1" applyFill="1" applyBorder="1"/>
    <xf numFmtId="0" fontId="6" fillId="6" borderId="0" xfId="0" applyFont="1" applyFill="1"/>
    <xf numFmtId="0" fontId="6" fillId="6" borderId="9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164" fontId="7" fillId="6" borderId="9" xfId="0" applyNumberFormat="1" applyFont="1" applyFill="1" applyBorder="1" applyAlignment="1">
      <alignment horizontal="center"/>
    </xf>
    <xf numFmtId="164" fontId="7" fillId="6" borderId="10" xfId="0" applyNumberFormat="1" applyFont="1" applyFill="1" applyBorder="1" applyAlignment="1">
      <alignment horizontal="center"/>
    </xf>
    <xf numFmtId="164" fontId="7" fillId="6" borderId="6" xfId="0" applyNumberFormat="1" applyFont="1" applyFill="1" applyBorder="1" applyAlignment="1">
      <alignment horizontal="center"/>
    </xf>
    <xf numFmtId="164" fontId="7" fillId="6" borderId="15" xfId="0" applyNumberFormat="1" applyFont="1" applyFill="1" applyBorder="1" applyAlignment="1">
      <alignment horizontal="center"/>
    </xf>
    <xf numFmtId="164" fontId="7" fillId="6" borderId="7" xfId="0" applyNumberFormat="1" applyFont="1" applyFill="1" applyBorder="1" applyAlignment="1">
      <alignment horizontal="center"/>
    </xf>
    <xf numFmtId="164" fontId="7" fillId="6" borderId="4" xfId="0" applyNumberFormat="1" applyFont="1" applyFill="1" applyBorder="1" applyAlignment="1">
      <alignment horizontal="center"/>
    </xf>
    <xf numFmtId="164" fontId="7" fillId="6" borderId="2" xfId="0" applyNumberFormat="1" applyFont="1" applyFill="1" applyBorder="1" applyAlignment="1">
      <alignment horizontal="center"/>
    </xf>
    <xf numFmtId="164" fontId="7" fillId="6" borderId="3" xfId="0" applyNumberFormat="1" applyFont="1" applyFill="1" applyBorder="1" applyAlignment="1">
      <alignment horizontal="center"/>
    </xf>
    <xf numFmtId="1" fontId="10" fillId="6" borderId="0" xfId="0" applyNumberFormat="1" applyFont="1" applyFill="1"/>
    <xf numFmtId="0" fontId="10" fillId="0" borderId="8" xfId="0" applyFont="1" applyBorder="1"/>
    <xf numFmtId="0" fontId="7" fillId="0" borderId="8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1" fontId="9" fillId="0" borderId="5" xfId="0" applyNumberFormat="1" applyFont="1" applyFill="1" applyBorder="1"/>
    <xf numFmtId="0" fontId="7" fillId="0" borderId="9" xfId="4" applyFont="1" applyFill="1" applyBorder="1" applyAlignment="1">
      <alignment horizontal="center"/>
    </xf>
    <xf numFmtId="0" fontId="7" fillId="0" borderId="9" xfId="1" applyFont="1" applyFill="1" applyBorder="1" applyAlignment="1">
      <alignment horizontal="center"/>
    </xf>
    <xf numFmtId="0" fontId="7" fillId="0" borderId="10" xfId="1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7" fillId="0" borderId="10" xfId="4" applyFont="1" applyFill="1" applyBorder="1" applyAlignment="1">
      <alignment horizontal="center"/>
    </xf>
    <xf numFmtId="0" fontId="7" fillId="0" borderId="9" xfId="2" applyFont="1" applyFill="1" applyBorder="1" applyAlignment="1">
      <alignment horizontal="center"/>
    </xf>
    <xf numFmtId="0" fontId="34" fillId="2" borderId="9" xfId="8" applyFont="1" applyBorder="1" applyAlignment="1">
      <alignment horizontal="center"/>
    </xf>
    <xf numFmtId="0" fontId="34" fillId="2" borderId="0" xfId="8" applyFont="1" applyBorder="1" applyAlignment="1">
      <alignment horizontal="center"/>
    </xf>
    <xf numFmtId="0" fontId="34" fillId="2" borderId="10" xfId="8" applyFont="1" applyBorder="1" applyAlignment="1">
      <alignment horizontal="center"/>
    </xf>
    <xf numFmtId="1" fontId="9" fillId="0" borderId="10" xfId="2" applyNumberFormat="1" applyFont="1" applyFill="1" applyBorder="1"/>
    <xf numFmtId="9" fontId="34" fillId="2" borderId="9" xfId="8" applyNumberFormat="1" applyFont="1" applyBorder="1" applyAlignment="1">
      <alignment horizontal="center"/>
    </xf>
    <xf numFmtId="9" fontId="34" fillId="2" borderId="0" xfId="8" applyNumberFormat="1" applyFont="1" applyBorder="1" applyAlignment="1">
      <alignment horizontal="center"/>
    </xf>
    <xf numFmtId="9" fontId="7" fillId="0" borderId="9" xfId="5" applyFont="1" applyFill="1" applyBorder="1" applyAlignment="1">
      <alignment horizontal="center"/>
    </xf>
    <xf numFmtId="9" fontId="34" fillId="2" borderId="10" xfId="8" applyNumberFormat="1" applyFont="1" applyBorder="1" applyAlignment="1">
      <alignment horizontal="center"/>
    </xf>
    <xf numFmtId="9" fontId="7" fillId="0" borderId="10" xfId="5" applyFont="1" applyFill="1" applyBorder="1" applyAlignment="1">
      <alignment horizontal="center"/>
    </xf>
    <xf numFmtId="9" fontId="31" fillId="2" borderId="10" xfId="1" applyNumberFormat="1" applyFont="1" applyBorder="1" applyAlignment="1">
      <alignment horizontal="center"/>
    </xf>
    <xf numFmtId="9" fontId="31" fillId="2" borderId="9" xfId="1" applyNumberFormat="1" applyFont="1" applyBorder="1" applyAlignment="1">
      <alignment horizontal="center"/>
    </xf>
    <xf numFmtId="9" fontId="7" fillId="0" borderId="0" xfId="5" applyFont="1" applyFill="1" applyBorder="1" applyAlignment="1">
      <alignment horizontal="center"/>
    </xf>
    <xf numFmtId="164" fontId="7" fillId="0" borderId="9" xfId="4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164" fontId="7" fillId="0" borderId="9" xfId="1" applyNumberFormat="1" applyFont="1" applyFill="1" applyBorder="1" applyAlignment="1">
      <alignment horizontal="center"/>
    </xf>
    <xf numFmtId="164" fontId="7" fillId="0" borderId="10" xfId="1" applyNumberFormat="1" applyFont="1" applyFill="1" applyBorder="1" applyAlignment="1">
      <alignment horizontal="center"/>
    </xf>
    <xf numFmtId="164" fontId="7" fillId="0" borderId="10" xfId="2" applyNumberFormat="1" applyFont="1" applyFill="1" applyBorder="1" applyAlignment="1">
      <alignment horizontal="center"/>
    </xf>
    <xf numFmtId="164" fontId="7" fillId="0" borderId="10" xfId="4" applyNumberFormat="1" applyFont="1" applyFill="1" applyBorder="1" applyAlignment="1">
      <alignment horizontal="center"/>
    </xf>
    <xf numFmtId="164" fontId="7" fillId="0" borderId="9" xfId="2" applyNumberFormat="1" applyFont="1" applyFill="1" applyBorder="1" applyAlignment="1">
      <alignment horizontal="center"/>
    </xf>
    <xf numFmtId="164" fontId="7" fillId="0" borderId="0" xfId="2" applyNumberFormat="1" applyFont="1" applyFill="1" applyBorder="1" applyAlignment="1">
      <alignment horizontal="center"/>
    </xf>
    <xf numFmtId="164" fontId="7" fillId="0" borderId="7" xfId="4" applyNumberFormat="1" applyFont="1" applyFill="1" applyBorder="1" applyAlignment="1">
      <alignment horizontal="center"/>
    </xf>
    <xf numFmtId="164" fontId="7" fillId="0" borderId="4" xfId="1" applyNumberFormat="1" applyFont="1" applyFill="1" applyBorder="1" applyAlignment="1">
      <alignment horizontal="center"/>
    </xf>
    <xf numFmtId="164" fontId="7" fillId="0" borderId="7" xfId="1" applyNumberFormat="1" applyFont="1" applyFill="1" applyBorder="1" applyAlignment="1">
      <alignment horizontal="center"/>
    </xf>
    <xf numFmtId="164" fontId="7" fillId="0" borderId="2" xfId="1" applyNumberFormat="1" applyFont="1" applyFill="1" applyBorder="1" applyAlignment="1">
      <alignment horizontal="center"/>
    </xf>
    <xf numFmtId="164" fontId="7" fillId="0" borderId="2" xfId="2" applyNumberFormat="1" applyFont="1" applyFill="1" applyBorder="1" applyAlignment="1">
      <alignment horizontal="center"/>
    </xf>
    <xf numFmtId="164" fontId="7" fillId="0" borderId="2" xfId="4" applyNumberFormat="1" applyFont="1" applyFill="1" applyBorder="1" applyAlignment="1">
      <alignment horizontal="center"/>
    </xf>
    <xf numFmtId="164" fontId="7" fillId="0" borderId="6" xfId="0" applyNumberFormat="1" applyFont="1" applyFill="1" applyBorder="1" applyAlignment="1">
      <alignment horizontal="center"/>
    </xf>
    <xf numFmtId="164" fontId="7" fillId="0" borderId="15" xfId="0" applyNumberFormat="1" applyFont="1" applyFill="1" applyBorder="1" applyAlignment="1">
      <alignment horizontal="center"/>
    </xf>
    <xf numFmtId="164" fontId="7" fillId="0" borderId="3" xfId="0" applyNumberFormat="1" applyFont="1" applyFill="1" applyBorder="1" applyAlignment="1">
      <alignment horizontal="center"/>
    </xf>
    <xf numFmtId="1" fontId="9" fillId="0" borderId="0" xfId="0" applyNumberFormat="1" applyFont="1" applyFill="1"/>
    <xf numFmtId="0" fontId="69" fillId="5" borderId="14" xfId="10" applyFont="1" applyAlignment="1">
      <alignment horizontal="center"/>
    </xf>
    <xf numFmtId="164" fontId="9" fillId="0" borderId="10" xfId="4" applyNumberFormat="1" applyFont="1" applyFill="1" applyBorder="1"/>
    <xf numFmtId="9" fontId="9" fillId="0" borderId="10" xfId="1" applyNumberFormat="1" applyFont="1" applyFill="1" applyBorder="1"/>
    <xf numFmtId="164" fontId="9" fillId="0" borderId="2" xfId="1" applyNumberFormat="1" applyFont="1" applyFill="1" applyBorder="1"/>
    <xf numFmtId="164" fontId="7" fillId="0" borderId="8" xfId="0" applyNumberFormat="1" applyFont="1" applyFill="1" applyBorder="1" applyAlignment="1">
      <alignment horizontal="center"/>
    </xf>
    <xf numFmtId="164" fontId="7" fillId="0" borderId="16" xfId="0" applyNumberFormat="1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" fontId="10" fillId="0" borderId="0" xfId="0" applyNumberFormat="1" applyFont="1"/>
    <xf numFmtId="0" fontId="10" fillId="8" borderId="8" xfId="0" applyFont="1" applyFill="1" applyBorder="1"/>
    <xf numFmtId="0" fontId="6" fillId="8" borderId="8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6" fillId="8" borderId="16" xfId="0" applyFont="1" applyFill="1" applyBorder="1" applyAlignment="1">
      <alignment horizontal="center"/>
    </xf>
    <xf numFmtId="1" fontId="10" fillId="8" borderId="13" xfId="0" applyNumberFormat="1" applyFont="1" applyFill="1" applyBorder="1"/>
    <xf numFmtId="0" fontId="6" fillId="8" borderId="9" xfId="0" applyFont="1" applyFill="1" applyBorder="1"/>
    <xf numFmtId="0" fontId="66" fillId="3" borderId="10" xfId="2" applyFont="1" applyBorder="1" applyAlignment="1">
      <alignment horizontal="center"/>
    </xf>
    <xf numFmtId="1" fontId="9" fillId="0" borderId="11" xfId="4" applyNumberFormat="1" applyFont="1" applyFill="1" applyBorder="1"/>
    <xf numFmtId="0" fontId="7" fillId="0" borderId="0" xfId="4" applyFont="1" applyFill="1" applyBorder="1" applyAlignment="1">
      <alignment horizontal="center"/>
    </xf>
    <xf numFmtId="1" fontId="9" fillId="0" borderId="11" xfId="0" applyNumberFormat="1" applyFont="1" applyFill="1" applyBorder="1"/>
    <xf numFmtId="1" fontId="9" fillId="0" borderId="11" xfId="1" applyNumberFormat="1" applyFont="1" applyFill="1" applyBorder="1"/>
    <xf numFmtId="9" fontId="7" fillId="0" borderId="0" xfId="2" applyNumberFormat="1" applyFont="1" applyFill="1" applyBorder="1" applyAlignment="1">
      <alignment horizontal="center"/>
    </xf>
    <xf numFmtId="9" fontId="7" fillId="0" borderId="9" xfId="1" applyNumberFormat="1" applyFont="1" applyFill="1" applyBorder="1" applyAlignment="1">
      <alignment horizontal="center"/>
    </xf>
    <xf numFmtId="9" fontId="7" fillId="0" borderId="0" xfId="1" applyNumberFormat="1" applyFont="1" applyFill="1" applyBorder="1" applyAlignment="1">
      <alignment horizontal="center"/>
    </xf>
    <xf numFmtId="9" fontId="7" fillId="0" borderId="10" xfId="1" applyNumberFormat="1" applyFont="1" applyFill="1" applyBorder="1" applyAlignment="1">
      <alignment horizontal="center"/>
    </xf>
    <xf numFmtId="9" fontId="7" fillId="0" borderId="10" xfId="2" applyNumberFormat="1" applyFont="1" applyFill="1" applyBorder="1" applyAlignment="1">
      <alignment horizontal="center"/>
    </xf>
    <xf numFmtId="9" fontId="9" fillId="0" borderId="11" xfId="4" applyNumberFormat="1" applyFont="1" applyFill="1" applyBorder="1"/>
    <xf numFmtId="164" fontId="7" fillId="0" borderId="0" xfId="4" applyNumberFormat="1" applyFont="1" applyFill="1" applyBorder="1" applyAlignment="1">
      <alignment horizontal="center"/>
    </xf>
    <xf numFmtId="164" fontId="9" fillId="0" borderId="11" xfId="4" applyNumberFormat="1" applyFont="1" applyFill="1" applyBorder="1"/>
    <xf numFmtId="0" fontId="6" fillId="8" borderId="7" xfId="0" applyFont="1" applyFill="1" applyBorder="1"/>
    <xf numFmtId="164" fontId="7" fillId="0" borderId="4" xfId="4" applyNumberFormat="1" applyFont="1" applyFill="1" applyBorder="1" applyAlignment="1">
      <alignment horizontal="center"/>
    </xf>
    <xf numFmtId="164" fontId="9" fillId="0" borderId="12" xfId="4" applyNumberFormat="1" applyFont="1" applyFill="1" applyBorder="1"/>
    <xf numFmtId="0" fontId="10" fillId="15" borderId="9" xfId="0" applyFont="1" applyFill="1" applyBorder="1"/>
    <xf numFmtId="0" fontId="9" fillId="15" borderId="9" xfId="0" applyFont="1" applyFill="1" applyBorder="1" applyAlignment="1">
      <alignment horizontal="center"/>
    </xf>
    <xf numFmtId="0" fontId="9" fillId="15" borderId="0" xfId="0" applyFont="1" applyFill="1" applyBorder="1" applyAlignment="1">
      <alignment horizontal="center"/>
    </xf>
    <xf numFmtId="0" fontId="9" fillId="15" borderId="8" xfId="0" applyFont="1" applyFill="1" applyBorder="1" applyAlignment="1">
      <alignment horizontal="center"/>
    </xf>
    <xf numFmtId="0" fontId="9" fillId="15" borderId="5" xfId="0" applyFont="1" applyFill="1" applyBorder="1" applyAlignment="1">
      <alignment horizontal="center"/>
    </xf>
    <xf numFmtId="0" fontId="9" fillId="15" borderId="10" xfId="0" applyFont="1" applyFill="1" applyBorder="1" applyAlignment="1">
      <alignment horizontal="center"/>
    </xf>
    <xf numFmtId="0" fontId="9" fillId="15" borderId="16" xfId="0" applyFont="1" applyFill="1" applyBorder="1" applyAlignment="1">
      <alignment horizontal="center"/>
    </xf>
    <xf numFmtId="0" fontId="10" fillId="15" borderId="10" xfId="0" applyFont="1" applyFill="1" applyBorder="1"/>
    <xf numFmtId="0" fontId="65" fillId="4" borderId="9" xfId="7" applyFont="1" applyBorder="1" applyAlignment="1">
      <alignment horizontal="center"/>
    </xf>
    <xf numFmtId="0" fontId="60" fillId="3" borderId="0" xfId="9" applyFont="1" applyBorder="1" applyAlignment="1">
      <alignment horizontal="center"/>
    </xf>
    <xf numFmtId="0" fontId="65" fillId="4" borderId="0" xfId="7" applyFont="1" applyBorder="1" applyAlignment="1">
      <alignment horizontal="center"/>
    </xf>
    <xf numFmtId="0" fontId="9" fillId="0" borderId="10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164" fontId="9" fillId="0" borderId="0" xfId="8" applyNumberFormat="1" applyFont="1" applyFill="1" applyBorder="1" applyAlignment="1">
      <alignment horizontal="center"/>
    </xf>
    <xf numFmtId="164" fontId="9" fillId="0" borderId="10" xfId="1" applyNumberFormat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center"/>
    </xf>
    <xf numFmtId="164" fontId="9" fillId="0" borderId="7" xfId="1" applyNumberFormat="1" applyFont="1" applyFill="1" applyBorder="1" applyAlignment="1">
      <alignment horizontal="center"/>
    </xf>
    <xf numFmtId="164" fontId="9" fillId="0" borderId="2" xfId="2" applyNumberFormat="1" applyFont="1" applyFill="1" applyBorder="1" applyAlignment="1">
      <alignment horizontal="center"/>
    </xf>
    <xf numFmtId="164" fontId="9" fillId="0" borderId="2" xfId="1" applyNumberFormat="1" applyFont="1" applyFill="1" applyBorder="1" applyAlignment="1">
      <alignment horizontal="center"/>
    </xf>
    <xf numFmtId="164" fontId="9" fillId="0" borderId="4" xfId="1" applyNumberFormat="1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10" fillId="15" borderId="8" xfId="0" applyFont="1" applyFill="1" applyBorder="1"/>
    <xf numFmtId="0" fontId="7" fillId="15" borderId="8" xfId="0" applyFont="1" applyFill="1" applyBorder="1" applyAlignment="1">
      <alignment horizontal="center"/>
    </xf>
    <xf numFmtId="0" fontId="7" fillId="15" borderId="16" xfId="0" applyFont="1" applyFill="1" applyBorder="1" applyAlignment="1">
      <alignment horizontal="center"/>
    </xf>
    <xf numFmtId="0" fontId="7" fillId="15" borderId="5" xfId="0" applyFont="1" applyFill="1" applyBorder="1" applyAlignment="1">
      <alignment horizontal="center"/>
    </xf>
    <xf numFmtId="0" fontId="7" fillId="15" borderId="9" xfId="0" applyFont="1" applyFill="1" applyBorder="1" applyAlignment="1">
      <alignment horizontal="center"/>
    </xf>
    <xf numFmtId="0" fontId="7" fillId="15" borderId="10" xfId="0" applyFont="1" applyFill="1" applyBorder="1" applyAlignment="1">
      <alignment horizontal="center"/>
    </xf>
    <xf numFmtId="0" fontId="7" fillId="15" borderId="0" xfId="0" applyFont="1" applyFill="1" applyBorder="1" applyAlignment="1">
      <alignment horizontal="center"/>
    </xf>
    <xf numFmtId="1" fontId="9" fillId="15" borderId="5" xfId="0" applyNumberFormat="1" applyFont="1" applyFill="1" applyBorder="1"/>
    <xf numFmtId="164" fontId="7" fillId="0" borderId="0" xfId="8" applyNumberFormat="1" applyFont="1" applyFill="1" applyBorder="1" applyAlignment="1">
      <alignment horizontal="center"/>
    </xf>
    <xf numFmtId="9" fontId="31" fillId="2" borderId="9" xfId="5" applyFont="1" applyFill="1" applyBorder="1" applyAlignment="1">
      <alignment horizontal="center"/>
    </xf>
    <xf numFmtId="9" fontId="31" fillId="2" borderId="0" xfId="5" applyFont="1" applyFill="1" applyBorder="1" applyAlignment="1">
      <alignment horizontal="center"/>
    </xf>
    <xf numFmtId="9" fontId="31" fillId="2" borderId="10" xfId="5" applyFont="1" applyFill="1" applyBorder="1" applyAlignment="1">
      <alignment horizontal="center"/>
    </xf>
    <xf numFmtId="0" fontId="32" fillId="0" borderId="0" xfId="1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0" fillId="13" borderId="8" xfId="0" applyFont="1" applyFill="1" applyBorder="1"/>
    <xf numFmtId="0" fontId="9" fillId="13" borderId="8" xfId="0" applyFont="1" applyFill="1" applyBorder="1" applyAlignment="1">
      <alignment horizontal="center"/>
    </xf>
    <xf numFmtId="0" fontId="9" fillId="13" borderId="16" xfId="0" applyFont="1" applyFill="1" applyBorder="1" applyAlignment="1">
      <alignment horizontal="center"/>
    </xf>
    <xf numFmtId="0" fontId="9" fillId="13" borderId="5" xfId="0" applyFont="1" applyFill="1" applyBorder="1" applyAlignment="1">
      <alignment horizontal="center"/>
    </xf>
    <xf numFmtId="0" fontId="10" fillId="13" borderId="5" xfId="0" applyFont="1" applyFill="1" applyBorder="1"/>
    <xf numFmtId="0" fontId="6" fillId="0" borderId="1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4" applyFont="1" applyFill="1" applyBorder="1" applyAlignment="1">
      <alignment horizontal="center"/>
    </xf>
    <xf numFmtId="0" fontId="6" fillId="0" borderId="5" xfId="0" applyFont="1" applyBorder="1"/>
    <xf numFmtId="0" fontId="10" fillId="14" borderId="13" xfId="0" applyFont="1" applyFill="1" applyBorder="1"/>
    <xf numFmtId="0" fontId="9" fillId="14" borderId="8" xfId="0" applyFont="1" applyFill="1" applyBorder="1" applyAlignment="1">
      <alignment horizontal="center"/>
    </xf>
    <xf numFmtId="0" fontId="9" fillId="14" borderId="16" xfId="0" applyFont="1" applyFill="1" applyBorder="1" applyAlignment="1">
      <alignment horizontal="center"/>
    </xf>
    <xf numFmtId="0" fontId="9" fillId="14" borderId="5" xfId="0" applyFont="1" applyFill="1" applyBorder="1" applyAlignment="1">
      <alignment horizontal="center"/>
    </xf>
    <xf numFmtId="0" fontId="31" fillId="2" borderId="8" xfId="1" applyFont="1" applyBorder="1" applyAlignment="1">
      <alignment horizontal="center"/>
    </xf>
    <xf numFmtId="0" fontId="31" fillId="2" borderId="16" xfId="1" applyFont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31" fillId="2" borderId="5" xfId="1" applyFont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9" fontId="9" fillId="0" borderId="10" xfId="5" applyFont="1" applyFill="1" applyBorder="1" applyAlignment="1">
      <alignment horizontal="center"/>
    </xf>
    <xf numFmtId="9" fontId="9" fillId="0" borderId="0" xfId="5" applyFont="1" applyFill="1" applyBorder="1" applyAlignment="1">
      <alignment horizontal="center"/>
    </xf>
    <xf numFmtId="167" fontId="9" fillId="0" borderId="9" xfId="13" applyNumberFormat="1" applyFont="1" applyFill="1" applyBorder="1" applyAlignment="1">
      <alignment horizontal="center"/>
    </xf>
    <xf numFmtId="167" fontId="9" fillId="0" borderId="10" xfId="13" applyNumberFormat="1" applyFont="1" applyFill="1" applyBorder="1" applyAlignment="1">
      <alignment horizontal="center"/>
    </xf>
    <xf numFmtId="167" fontId="9" fillId="0" borderId="0" xfId="13" applyNumberFormat="1" applyFont="1" applyFill="1" applyBorder="1" applyAlignment="1">
      <alignment horizontal="center"/>
    </xf>
    <xf numFmtId="164" fontId="9" fillId="0" borderId="4" xfId="8" applyNumberFormat="1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167" fontId="7" fillId="0" borderId="9" xfId="13" applyNumberFormat="1" applyFont="1" applyFill="1" applyBorder="1" applyAlignment="1">
      <alignment horizontal="center"/>
    </xf>
    <xf numFmtId="167" fontId="7" fillId="0" borderId="10" xfId="13" applyNumberFormat="1" applyFont="1" applyFill="1" applyBorder="1" applyAlignment="1">
      <alignment horizontal="center"/>
    </xf>
    <xf numFmtId="167" fontId="7" fillId="0" borderId="0" xfId="13" applyNumberFormat="1" applyFont="1" applyFill="1" applyBorder="1" applyAlignment="1">
      <alignment horizontal="center"/>
    </xf>
    <xf numFmtId="164" fontId="7" fillId="0" borderId="4" xfId="8" applyNumberFormat="1" applyFont="1" applyFill="1" applyBorder="1" applyAlignment="1">
      <alignment horizontal="center"/>
    </xf>
    <xf numFmtId="0" fontId="32" fillId="0" borderId="16" xfId="0" applyFont="1" applyFill="1" applyBorder="1" applyAlignment="1">
      <alignment horizontal="center"/>
    </xf>
    <xf numFmtId="0" fontId="10" fillId="21" borderId="13" xfId="0" applyFont="1" applyFill="1" applyBorder="1"/>
    <xf numFmtId="0" fontId="9" fillId="21" borderId="6" xfId="0" applyFont="1" applyFill="1" applyBorder="1" applyAlignment="1">
      <alignment horizontal="center"/>
    </xf>
    <xf numFmtId="0" fontId="9" fillId="21" borderId="15" xfId="0" applyFont="1" applyFill="1" applyBorder="1" applyAlignment="1">
      <alignment horizontal="center"/>
    </xf>
    <xf numFmtId="0" fontId="9" fillId="21" borderId="3" xfId="0" applyFont="1" applyFill="1" applyBorder="1" applyAlignment="1">
      <alignment horizontal="center"/>
    </xf>
    <xf numFmtId="0" fontId="44" fillId="0" borderId="0" xfId="4" applyFont="1" applyFill="1" applyBorder="1" applyAlignment="1">
      <alignment horizontal="center"/>
    </xf>
    <xf numFmtId="0" fontId="44" fillId="0" borderId="10" xfId="4" applyFont="1" applyFill="1" applyBorder="1" applyAlignment="1">
      <alignment horizontal="center"/>
    </xf>
    <xf numFmtId="0" fontId="44" fillId="0" borderId="10" xfId="2" applyFont="1" applyFill="1" applyBorder="1" applyAlignment="1">
      <alignment horizontal="center"/>
    </xf>
    <xf numFmtId="9" fontId="44" fillId="0" borderId="0" xfId="1" applyNumberFormat="1" applyFont="1" applyFill="1" applyBorder="1" applyAlignment="1">
      <alignment horizontal="center"/>
    </xf>
    <xf numFmtId="9" fontId="44" fillId="0" borderId="10" xfId="1" applyNumberFormat="1" applyFont="1" applyFill="1" applyBorder="1" applyAlignment="1">
      <alignment horizontal="center"/>
    </xf>
    <xf numFmtId="9" fontId="44" fillId="0" borderId="10" xfId="2" applyNumberFormat="1" applyFont="1" applyFill="1" applyBorder="1" applyAlignment="1">
      <alignment horizontal="center"/>
    </xf>
    <xf numFmtId="164" fontId="44" fillId="0" borderId="0" xfId="4" applyNumberFormat="1" applyFont="1" applyFill="1" applyBorder="1" applyAlignment="1">
      <alignment horizontal="center"/>
    </xf>
    <xf numFmtId="164" fontId="44" fillId="0" borderId="10" xfId="4" applyNumberFormat="1" applyFont="1" applyFill="1" applyBorder="1" applyAlignment="1">
      <alignment horizontal="center"/>
    </xf>
    <xf numFmtId="164" fontId="44" fillId="0" borderId="10" xfId="2" applyNumberFormat="1" applyFont="1" applyFill="1" applyBorder="1" applyAlignment="1">
      <alignment horizontal="center"/>
    </xf>
    <xf numFmtId="164" fontId="44" fillId="0" borderId="4" xfId="4" applyNumberFormat="1" applyFont="1" applyFill="1" applyBorder="1" applyAlignment="1">
      <alignment horizontal="center"/>
    </xf>
    <xf numFmtId="164" fontId="44" fillId="0" borderId="2" xfId="4" applyNumberFormat="1" applyFont="1" applyFill="1" applyBorder="1" applyAlignment="1">
      <alignment horizontal="center"/>
    </xf>
    <xf numFmtId="164" fontId="44" fillId="0" borderId="2" xfId="2" applyNumberFormat="1" applyFont="1" applyFill="1" applyBorder="1" applyAlignment="1">
      <alignment horizontal="center"/>
    </xf>
    <xf numFmtId="0" fontId="10" fillId="0" borderId="13" xfId="0" applyFont="1" applyBorder="1"/>
    <xf numFmtId="0" fontId="33" fillId="0" borderId="0" xfId="4" applyFont="1" applyFill="1" applyBorder="1" applyAlignment="1">
      <alignment horizontal="center"/>
    </xf>
    <xf numFmtId="0" fontId="33" fillId="0" borderId="10" xfId="2" applyFont="1" applyFill="1" applyBorder="1" applyAlignment="1">
      <alignment horizontal="center"/>
    </xf>
    <xf numFmtId="9" fontId="33" fillId="0" borderId="0" xfId="1" applyNumberFormat="1" applyFont="1" applyFill="1" applyBorder="1" applyAlignment="1">
      <alignment horizontal="center"/>
    </xf>
    <xf numFmtId="9" fontId="33" fillId="0" borderId="10" xfId="2" applyNumberFormat="1" applyFont="1" applyFill="1" applyBorder="1" applyAlignment="1">
      <alignment horizontal="center"/>
    </xf>
    <xf numFmtId="164" fontId="33" fillId="0" borderId="0" xfId="4" applyNumberFormat="1" applyFont="1" applyFill="1" applyBorder="1" applyAlignment="1">
      <alignment horizontal="center"/>
    </xf>
    <xf numFmtId="164" fontId="33" fillId="0" borderId="10" xfId="2" applyNumberFormat="1" applyFont="1" applyFill="1" applyBorder="1" applyAlignment="1">
      <alignment horizontal="center"/>
    </xf>
    <xf numFmtId="164" fontId="33" fillId="0" borderId="4" xfId="4" applyNumberFormat="1" applyFont="1" applyFill="1" applyBorder="1" applyAlignment="1">
      <alignment horizontal="center"/>
    </xf>
    <xf numFmtId="164" fontId="33" fillId="0" borderId="2" xfId="2" applyNumberFormat="1" applyFont="1" applyFill="1" applyBorder="1" applyAlignment="1">
      <alignment horizontal="center"/>
    </xf>
    <xf numFmtId="0" fontId="40" fillId="0" borderId="13" xfId="0" applyFont="1" applyBorder="1"/>
    <xf numFmtId="0" fontId="9" fillId="0" borderId="8" xfId="0" applyFont="1" applyFill="1" applyBorder="1" applyAlignment="1"/>
    <xf numFmtId="0" fontId="9" fillId="0" borderId="5" xfId="0" applyFont="1" applyFill="1" applyBorder="1" applyAlignment="1"/>
    <xf numFmtId="0" fontId="38" fillId="0" borderId="9" xfId="4" applyFont="1" applyFill="1" applyBorder="1" applyAlignment="1">
      <alignment horizontal="center"/>
    </xf>
    <xf numFmtId="0" fontId="38" fillId="0" borderId="0" xfId="1" applyFont="1" applyFill="1" applyBorder="1" applyAlignment="1">
      <alignment horizontal="center"/>
    </xf>
    <xf numFmtId="0" fontId="38" fillId="0" borderId="9" xfId="1" applyFont="1" applyFill="1" applyBorder="1" applyAlignment="1">
      <alignment horizontal="center"/>
    </xf>
    <xf numFmtId="0" fontId="38" fillId="0" borderId="10" xfId="1" applyFont="1" applyFill="1" applyBorder="1" applyAlignment="1">
      <alignment horizontal="center"/>
    </xf>
    <xf numFmtId="0" fontId="38" fillId="0" borderId="10" xfId="4" applyFont="1" applyFill="1" applyBorder="1" applyAlignment="1">
      <alignment horizontal="center"/>
    </xf>
    <xf numFmtId="0" fontId="38" fillId="0" borderId="0" xfId="4" applyFont="1" applyFill="1" applyBorder="1" applyAlignment="1">
      <alignment horizontal="center"/>
    </xf>
    <xf numFmtId="0" fontId="38" fillId="0" borderId="10" xfId="2" applyFont="1" applyFill="1" applyBorder="1" applyAlignment="1">
      <alignment horizontal="center"/>
    </xf>
    <xf numFmtId="0" fontId="38" fillId="0" borderId="0" xfId="2" applyFont="1" applyFill="1" applyBorder="1" applyAlignment="1">
      <alignment horizontal="center"/>
    </xf>
    <xf numFmtId="0" fontId="70" fillId="2" borderId="9" xfId="1" applyFont="1" applyBorder="1" applyAlignment="1">
      <alignment horizontal="center"/>
    </xf>
    <xf numFmtId="0" fontId="70" fillId="2" borderId="0" xfId="1" applyFont="1" applyBorder="1" applyAlignment="1">
      <alignment horizontal="center"/>
    </xf>
    <xf numFmtId="0" fontId="31" fillId="0" borderId="9" xfId="1" applyFont="1" applyFill="1" applyBorder="1" applyAlignment="1">
      <alignment horizontal="center"/>
    </xf>
    <xf numFmtId="0" fontId="31" fillId="0" borderId="0" xfId="1" applyFont="1" applyFill="1" applyBorder="1" applyAlignment="1">
      <alignment horizontal="center"/>
    </xf>
    <xf numFmtId="0" fontId="31" fillId="0" borderId="10" xfId="1" applyFont="1" applyFill="1" applyBorder="1" applyAlignment="1">
      <alignment horizontal="center"/>
    </xf>
    <xf numFmtId="9" fontId="38" fillId="0" borderId="9" xfId="5" applyFont="1" applyFill="1" applyBorder="1" applyAlignment="1">
      <alignment horizontal="center"/>
    </xf>
    <xf numFmtId="9" fontId="38" fillId="0" borderId="0" xfId="2" applyNumberFormat="1" applyFont="1" applyFill="1" applyBorder="1" applyAlignment="1">
      <alignment horizontal="center"/>
    </xf>
    <xf numFmtId="9" fontId="70" fillId="2" borderId="9" xfId="1" applyNumberFormat="1" applyFont="1" applyBorder="1" applyAlignment="1">
      <alignment horizontal="center"/>
    </xf>
    <xf numFmtId="9" fontId="70" fillId="2" borderId="0" xfId="1" applyNumberFormat="1" applyFont="1" applyBorder="1" applyAlignment="1">
      <alignment horizontal="center"/>
    </xf>
    <xf numFmtId="9" fontId="31" fillId="0" borderId="9" xfId="1" applyNumberFormat="1" applyFont="1" applyFill="1" applyBorder="1" applyAlignment="1">
      <alignment horizontal="center"/>
    </xf>
    <xf numFmtId="9" fontId="31" fillId="0" borderId="0" xfId="1" applyNumberFormat="1" applyFont="1" applyFill="1" applyBorder="1" applyAlignment="1">
      <alignment horizontal="center"/>
    </xf>
    <xf numFmtId="9" fontId="31" fillId="0" borderId="10" xfId="1" applyNumberFormat="1" applyFont="1" applyFill="1" applyBorder="1" applyAlignment="1">
      <alignment horizontal="center"/>
    </xf>
    <xf numFmtId="164" fontId="38" fillId="0" borderId="9" xfId="4" applyNumberFormat="1" applyFont="1" applyFill="1" applyBorder="1" applyAlignment="1">
      <alignment horizontal="center"/>
    </xf>
    <xf numFmtId="164" fontId="38" fillId="0" borderId="0" xfId="4" applyNumberFormat="1" applyFont="1" applyFill="1" applyBorder="1" applyAlignment="1">
      <alignment horizontal="center"/>
    </xf>
    <xf numFmtId="164" fontId="38" fillId="0" borderId="9" xfId="1" applyNumberFormat="1" applyFont="1" applyFill="1" applyBorder="1" applyAlignment="1">
      <alignment horizontal="center"/>
    </xf>
    <xf numFmtId="164" fontId="38" fillId="0" borderId="10" xfId="4" applyNumberFormat="1" applyFont="1" applyFill="1" applyBorder="1" applyAlignment="1">
      <alignment horizontal="center"/>
    </xf>
    <xf numFmtId="164" fontId="38" fillId="0" borderId="0" xfId="8" applyNumberFormat="1" applyFont="1" applyFill="1" applyBorder="1" applyAlignment="1">
      <alignment horizontal="center"/>
    </xf>
    <xf numFmtId="164" fontId="38" fillId="0" borderId="10" xfId="2" applyNumberFormat="1" applyFont="1" applyFill="1" applyBorder="1" applyAlignment="1">
      <alignment horizontal="center"/>
    </xf>
    <xf numFmtId="164" fontId="38" fillId="0" borderId="7" xfId="4" applyNumberFormat="1" applyFont="1" applyFill="1" applyBorder="1" applyAlignment="1">
      <alignment horizontal="center"/>
    </xf>
    <xf numFmtId="164" fontId="38" fillId="0" borderId="4" xfId="4" applyNumberFormat="1" applyFont="1" applyFill="1" applyBorder="1" applyAlignment="1">
      <alignment horizontal="center"/>
    </xf>
    <xf numFmtId="164" fontId="38" fillId="0" borderId="7" xfId="1" applyNumberFormat="1" applyFont="1" applyFill="1" applyBorder="1" applyAlignment="1">
      <alignment horizontal="center"/>
    </xf>
    <xf numFmtId="164" fontId="38" fillId="0" borderId="2" xfId="4" applyNumberFormat="1" applyFont="1" applyFill="1" applyBorder="1" applyAlignment="1">
      <alignment horizontal="center"/>
    </xf>
    <xf numFmtId="164" fontId="38" fillId="0" borderId="2" xfId="2" applyNumberFormat="1" applyFont="1" applyFill="1" applyBorder="1" applyAlignment="1">
      <alignment horizontal="center"/>
    </xf>
    <xf numFmtId="0" fontId="6" fillId="0" borderId="10" xfId="0" applyFont="1" applyBorder="1"/>
    <xf numFmtId="0" fontId="6" fillId="0" borderId="2" xfId="0" applyFont="1" applyBorder="1"/>
    <xf numFmtId="0" fontId="32" fillId="0" borderId="9" xfId="4" applyFont="1" applyFill="1" applyBorder="1" applyAlignment="1">
      <alignment horizontal="center"/>
    </xf>
    <xf numFmtId="0" fontId="10" fillId="20" borderId="13" xfId="0" applyFont="1" applyFill="1" applyBorder="1"/>
    <xf numFmtId="0" fontId="9" fillId="20" borderId="6" xfId="0" applyFont="1" applyFill="1" applyBorder="1" applyAlignment="1">
      <alignment horizontal="center"/>
    </xf>
    <xf numFmtId="0" fontId="9" fillId="20" borderId="15" xfId="0" applyFont="1" applyFill="1" applyBorder="1" applyAlignment="1">
      <alignment horizontal="center"/>
    </xf>
    <xf numFmtId="0" fontId="9" fillId="20" borderId="3" xfId="0" applyFont="1" applyFill="1" applyBorder="1" applyAlignment="1">
      <alignment horizontal="center"/>
    </xf>
    <xf numFmtId="0" fontId="16" fillId="0" borderId="10" xfId="4" applyFont="1" applyFill="1" applyBorder="1" applyAlignment="1">
      <alignment horizontal="center"/>
    </xf>
    <xf numFmtId="0" fontId="16" fillId="0" borderId="10" xfId="2" applyFont="1" applyFill="1" applyBorder="1" applyAlignment="1">
      <alignment horizontal="center"/>
    </xf>
    <xf numFmtId="0" fontId="16" fillId="0" borderId="0" xfId="2" applyFont="1" applyFill="1" applyBorder="1" applyAlignment="1">
      <alignment horizontal="center"/>
    </xf>
    <xf numFmtId="0" fontId="29" fillId="0" borderId="10" xfId="1" applyFont="1" applyFill="1" applyBorder="1" applyAlignment="1">
      <alignment horizontal="center"/>
    </xf>
    <xf numFmtId="0" fontId="29" fillId="0" borderId="0" xfId="1" applyFont="1" applyFill="1" applyBorder="1" applyAlignment="1">
      <alignment horizontal="center"/>
    </xf>
    <xf numFmtId="9" fontId="16" fillId="0" borderId="0" xfId="2" applyNumberFormat="1" applyFont="1" applyFill="1" applyBorder="1" applyAlignment="1">
      <alignment horizontal="center"/>
    </xf>
    <xf numFmtId="9" fontId="29" fillId="0" borderId="10" xfId="1" applyNumberFormat="1" applyFont="1" applyFill="1" applyBorder="1" applyAlignment="1">
      <alignment horizontal="center"/>
    </xf>
    <xf numFmtId="9" fontId="29" fillId="0" borderId="0" xfId="1" applyNumberFormat="1" applyFont="1" applyFill="1" applyBorder="1" applyAlignment="1">
      <alignment horizontal="center"/>
    </xf>
    <xf numFmtId="164" fontId="16" fillId="0" borderId="10" xfId="2" applyNumberFormat="1" applyFont="1" applyFill="1" applyBorder="1" applyAlignment="1">
      <alignment horizontal="center"/>
    </xf>
    <xf numFmtId="164" fontId="16" fillId="0" borderId="2" xfId="2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9" fontId="7" fillId="0" borderId="9" xfId="4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8" xfId="0" applyFont="1" applyFill="1" applyBorder="1" applyAlignment="1"/>
    <xf numFmtId="0" fontId="7" fillId="0" borderId="5" xfId="0" applyFont="1" applyFill="1" applyBorder="1" applyAlignment="1"/>
    <xf numFmtId="0" fontId="10" fillId="23" borderId="13" xfId="0" applyFont="1" applyFill="1" applyBorder="1"/>
    <xf numFmtId="0" fontId="9" fillId="23" borderId="6" xfId="0" applyFont="1" applyFill="1" applyBorder="1" applyAlignment="1">
      <alignment horizontal="center"/>
    </xf>
    <xf numFmtId="0" fontId="9" fillId="23" borderId="15" xfId="0" applyFont="1" applyFill="1" applyBorder="1" applyAlignment="1">
      <alignment horizontal="center"/>
    </xf>
    <xf numFmtId="0" fontId="9" fillId="23" borderId="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31" fillId="2" borderId="0" xfId="1" applyFont="1" applyAlignment="1">
      <alignment horizontal="center"/>
    </xf>
    <xf numFmtId="0" fontId="71" fillId="0" borderId="9" xfId="1" applyFont="1" applyFill="1" applyBorder="1" applyAlignment="1">
      <alignment horizontal="center"/>
    </xf>
    <xf numFmtId="0" fontId="71" fillId="0" borderId="0" xfId="1" applyFont="1" applyFill="1" applyBorder="1" applyAlignment="1">
      <alignment horizontal="center"/>
    </xf>
    <xf numFmtId="9" fontId="71" fillId="0" borderId="9" xfId="1" applyNumberFormat="1" applyFont="1" applyFill="1" applyBorder="1" applyAlignment="1">
      <alignment horizontal="center"/>
    </xf>
    <xf numFmtId="9" fontId="71" fillId="0" borderId="0" xfId="1" applyNumberFormat="1" applyFont="1" applyFill="1" applyBorder="1" applyAlignment="1">
      <alignment horizontal="center"/>
    </xf>
    <xf numFmtId="0" fontId="71" fillId="0" borderId="10" xfId="1" applyFont="1" applyFill="1" applyBorder="1" applyAlignment="1">
      <alignment horizontal="center"/>
    </xf>
    <xf numFmtId="9" fontId="71" fillId="0" borderId="10" xfId="1" applyNumberFormat="1" applyFont="1" applyFill="1" applyBorder="1" applyAlignment="1">
      <alignment horizontal="center"/>
    </xf>
    <xf numFmtId="0" fontId="10" fillId="28" borderId="13" xfId="0" applyFont="1" applyFill="1" applyBorder="1"/>
    <xf numFmtId="0" fontId="9" fillId="28" borderId="6" xfId="0" applyFont="1" applyFill="1" applyBorder="1" applyAlignment="1">
      <alignment horizontal="center"/>
    </xf>
    <xf numFmtId="0" fontId="9" fillId="28" borderId="15" xfId="0" applyFont="1" applyFill="1" applyBorder="1" applyAlignment="1">
      <alignment horizontal="center"/>
    </xf>
    <xf numFmtId="0" fontId="9" fillId="28" borderId="3" xfId="0" applyFont="1" applyFill="1" applyBorder="1" applyAlignment="1">
      <alignment horizontal="center"/>
    </xf>
    <xf numFmtId="0" fontId="10" fillId="30" borderId="13" xfId="0" applyFont="1" applyFill="1" applyBorder="1"/>
    <xf numFmtId="0" fontId="9" fillId="30" borderId="6" xfId="0" applyFont="1" applyFill="1" applyBorder="1" applyAlignment="1">
      <alignment horizontal="center"/>
    </xf>
    <xf numFmtId="0" fontId="9" fillId="30" borderId="15" xfId="0" applyFont="1" applyFill="1" applyBorder="1" applyAlignment="1">
      <alignment horizontal="center"/>
    </xf>
    <xf numFmtId="0" fontId="9" fillId="30" borderId="3" xfId="0" applyFont="1" applyFill="1" applyBorder="1" applyAlignment="1">
      <alignment horizontal="center"/>
    </xf>
    <xf numFmtId="0" fontId="72" fillId="2" borderId="9" xfId="1" applyFont="1" applyBorder="1" applyAlignment="1">
      <alignment horizontal="center"/>
    </xf>
    <xf numFmtId="0" fontId="72" fillId="2" borderId="0" xfId="1" applyFont="1" applyBorder="1" applyAlignment="1">
      <alignment horizontal="center"/>
    </xf>
    <xf numFmtId="9" fontId="72" fillId="2" borderId="9" xfId="1" applyNumberFormat="1" applyFont="1" applyBorder="1" applyAlignment="1">
      <alignment horizontal="center"/>
    </xf>
    <xf numFmtId="9" fontId="72" fillId="2" borderId="0" xfId="1" applyNumberFormat="1" applyFont="1" applyBorder="1" applyAlignment="1">
      <alignment horizontal="center"/>
    </xf>
    <xf numFmtId="0" fontId="9" fillId="0" borderId="13" xfId="0" applyFont="1" applyBorder="1"/>
    <xf numFmtId="0" fontId="7" fillId="0" borderId="7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7" fillId="0" borderId="7" xfId="0" applyNumberFormat="1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10" fillId="8" borderId="13" xfId="0" applyFont="1" applyFill="1" applyBorder="1"/>
    <xf numFmtId="0" fontId="9" fillId="8" borderId="6" xfId="0" applyFont="1" applyFill="1" applyBorder="1" applyAlignment="1">
      <alignment horizontal="center"/>
    </xf>
    <xf numFmtId="0" fontId="9" fillId="8" borderId="15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/>
    </xf>
    <xf numFmtId="0" fontId="9" fillId="0" borderId="16" xfId="4" applyFont="1" applyFill="1" applyBorder="1" applyAlignment="1">
      <alignment horizontal="center"/>
    </xf>
    <xf numFmtId="0" fontId="9" fillId="0" borderId="5" xfId="4" applyFont="1" applyFill="1" applyBorder="1" applyAlignment="1">
      <alignment horizontal="center"/>
    </xf>
    <xf numFmtId="0" fontId="16" fillId="0" borderId="0" xfId="4" applyFont="1" applyFill="1" applyBorder="1" applyAlignment="1">
      <alignment horizontal="center"/>
    </xf>
    <xf numFmtId="164" fontId="16" fillId="0" borderId="0" xfId="4" applyNumberFormat="1" applyFont="1" applyFill="1" applyBorder="1" applyAlignment="1">
      <alignment horizontal="center"/>
    </xf>
    <xf numFmtId="164" fontId="16" fillId="0" borderId="4" xfId="4" applyNumberFormat="1" applyFont="1" applyFill="1" applyBorder="1" applyAlignment="1">
      <alignment horizontal="center"/>
    </xf>
    <xf numFmtId="0" fontId="10" fillId="33" borderId="13" xfId="0" applyFont="1" applyFill="1" applyBorder="1"/>
    <xf numFmtId="0" fontId="9" fillId="33" borderId="8" xfId="0" applyFont="1" applyFill="1" applyBorder="1" applyAlignment="1">
      <alignment horizontal="center"/>
    </xf>
    <xf numFmtId="0" fontId="9" fillId="33" borderId="16" xfId="0" applyFont="1" applyFill="1" applyBorder="1" applyAlignment="1">
      <alignment horizontal="center"/>
    </xf>
    <xf numFmtId="0" fontId="9" fillId="33" borderId="5" xfId="0" applyFont="1" applyFill="1" applyBorder="1" applyAlignment="1">
      <alignment horizontal="center"/>
    </xf>
    <xf numFmtId="0" fontId="7" fillId="0" borderId="9" xfId="8" applyFont="1" applyFill="1" applyBorder="1" applyAlignment="1">
      <alignment horizontal="center"/>
    </xf>
    <xf numFmtId="9" fontId="7" fillId="0" borderId="9" xfId="8" applyNumberFormat="1" applyFont="1" applyFill="1" applyBorder="1" applyAlignment="1">
      <alignment horizontal="center"/>
    </xf>
    <xf numFmtId="0" fontId="16" fillId="0" borderId="9" xfId="1" applyFont="1" applyFill="1" applyBorder="1" applyAlignment="1">
      <alignment horizontal="center"/>
    </xf>
    <xf numFmtId="0" fontId="16" fillId="0" borderId="9" xfId="4" applyFont="1" applyFill="1" applyBorder="1" applyAlignment="1">
      <alignment horizontal="center"/>
    </xf>
    <xf numFmtId="9" fontId="16" fillId="0" borderId="9" xfId="5" applyFont="1" applyFill="1" applyBorder="1" applyAlignment="1">
      <alignment horizontal="center"/>
    </xf>
    <xf numFmtId="164" fontId="16" fillId="0" borderId="9" xfId="4" applyNumberFormat="1" applyFont="1" applyFill="1" applyBorder="1" applyAlignment="1">
      <alignment horizontal="center"/>
    </xf>
    <xf numFmtId="164" fontId="16" fillId="0" borderId="7" xfId="4" applyNumberFormat="1" applyFont="1" applyFill="1" applyBorder="1" applyAlignment="1">
      <alignment horizontal="center"/>
    </xf>
    <xf numFmtId="0" fontId="32" fillId="0" borderId="9" xfId="1" applyFont="1" applyFill="1" applyBorder="1" applyAlignment="1">
      <alignment horizontal="center"/>
    </xf>
    <xf numFmtId="164" fontId="9" fillId="0" borderId="0" xfId="4" applyNumberFormat="1" applyFont="1" applyFill="1" applyBorder="1"/>
    <xf numFmtId="0" fontId="68" fillId="0" borderId="10" xfId="3" applyFont="1" applyBorder="1"/>
    <xf numFmtId="0" fontId="37" fillId="0" borderId="10" xfId="0" applyFont="1" applyBorder="1"/>
    <xf numFmtId="0" fontId="50" fillId="20" borderId="17" xfId="0" applyFont="1" applyFill="1" applyBorder="1"/>
    <xf numFmtId="0" fontId="74" fillId="0" borderId="10" xfId="3" applyFont="1" applyBorder="1"/>
    <xf numFmtId="0" fontId="50" fillId="20" borderId="18" xfId="0" applyFont="1" applyFill="1" applyBorder="1"/>
    <xf numFmtId="0" fontId="50" fillId="0" borderId="18" xfId="0" applyFont="1" applyBorder="1"/>
    <xf numFmtId="9" fontId="73" fillId="20" borderId="10" xfId="0" applyNumberFormat="1" applyFont="1" applyFill="1" applyBorder="1"/>
    <xf numFmtId="9" fontId="50" fillId="20" borderId="0" xfId="0" applyNumberFormat="1" applyFont="1" applyFill="1" applyBorder="1"/>
    <xf numFmtId="164" fontId="73" fillId="20" borderId="10" xfId="0" applyNumberFormat="1" applyFont="1" applyFill="1" applyBorder="1"/>
    <xf numFmtId="164" fontId="50" fillId="20" borderId="0" xfId="0" applyNumberFormat="1" applyFont="1" applyFill="1" applyBorder="1"/>
    <xf numFmtId="0" fontId="73" fillId="20" borderId="2" xfId="0" applyFont="1" applyFill="1" applyBorder="1" applyAlignment="1">
      <alignment textRotation="90"/>
    </xf>
    <xf numFmtId="0" fontId="50" fillId="20" borderId="4" xfId="0" applyFont="1" applyFill="1" applyBorder="1" applyAlignment="1">
      <alignment textRotation="90"/>
    </xf>
    <xf numFmtId="164" fontId="45" fillId="2" borderId="0" xfId="8" applyNumberFormat="1" applyFont="1" applyBorder="1"/>
    <xf numFmtId="0" fontId="76" fillId="0" borderId="0" xfId="3" applyFont="1"/>
    <xf numFmtId="0" fontId="76" fillId="0" borderId="0" xfId="0" applyFont="1"/>
    <xf numFmtId="0" fontId="80" fillId="0" borderId="0" xfId="0" applyFont="1"/>
    <xf numFmtId="9" fontId="7" fillId="0" borderId="5" xfId="7" applyNumberFormat="1" applyFont="1" applyFill="1" applyBorder="1"/>
    <xf numFmtId="9" fontId="7" fillId="0" borderId="2" xfId="7" applyNumberFormat="1" applyFont="1" applyFill="1" applyBorder="1" applyAlignment="1">
      <alignment horizontal="right"/>
    </xf>
    <xf numFmtId="9" fontId="9" fillId="13" borderId="8" xfId="8" applyNumberFormat="1" applyFont="1" applyFill="1" applyBorder="1"/>
    <xf numFmtId="164" fontId="75" fillId="4" borderId="9" xfId="7" applyNumberFormat="1" applyFont="1" applyBorder="1"/>
    <xf numFmtId="164" fontId="9" fillId="13" borderId="9" xfId="8" applyNumberFormat="1" applyFont="1" applyFill="1" applyBorder="1"/>
    <xf numFmtId="9" fontId="9" fillId="13" borderId="9" xfId="9" applyNumberFormat="1" applyFont="1" applyFill="1" applyBorder="1"/>
    <xf numFmtId="9" fontId="9" fillId="13" borderId="9" xfId="8" applyNumberFormat="1" applyFont="1" applyFill="1" applyBorder="1"/>
    <xf numFmtId="164" fontId="9" fillId="13" borderId="7" xfId="8" applyNumberFormat="1" applyFont="1" applyFill="1" applyBorder="1"/>
    <xf numFmtId="9" fontId="9" fillId="0" borderId="8" xfId="7" applyNumberFormat="1" applyFont="1" applyFill="1" applyBorder="1"/>
    <xf numFmtId="164" fontId="9" fillId="0" borderId="9" xfId="7" applyNumberFormat="1" applyFont="1" applyFill="1" applyBorder="1" applyAlignment="1">
      <alignment horizontal="right"/>
    </xf>
    <xf numFmtId="164" fontId="9" fillId="0" borderId="9" xfId="7" applyNumberFormat="1" applyFont="1" applyFill="1" applyBorder="1"/>
    <xf numFmtId="164" fontId="9" fillId="0" borderId="9" xfId="8" applyNumberFormat="1" applyFont="1" applyFill="1" applyBorder="1"/>
    <xf numFmtId="9" fontId="9" fillId="0" borderId="9" xfId="8" applyNumberFormat="1" applyFont="1" applyFill="1" applyBorder="1"/>
    <xf numFmtId="9" fontId="75" fillId="4" borderId="9" xfId="7" applyNumberFormat="1" applyFont="1" applyBorder="1"/>
    <xf numFmtId="164" fontId="9" fillId="0" borderId="7" xfId="7" applyNumberFormat="1" applyFont="1" applyFill="1" applyBorder="1"/>
    <xf numFmtId="9" fontId="75" fillId="4" borderId="8" xfId="7" applyNumberFormat="1" applyFont="1" applyBorder="1"/>
    <xf numFmtId="164" fontId="9" fillId="14" borderId="9" xfId="8" applyNumberFormat="1" applyFont="1" applyFill="1" applyBorder="1" applyAlignment="1">
      <alignment horizontal="right"/>
    </xf>
    <xf numFmtId="164" fontId="9" fillId="14" borderId="9" xfId="8" applyNumberFormat="1" applyFont="1" applyFill="1" applyBorder="1"/>
    <xf numFmtId="9" fontId="9" fillId="14" borderId="9" xfId="9" applyNumberFormat="1" applyFont="1" applyFill="1" applyBorder="1"/>
    <xf numFmtId="9" fontId="9" fillId="14" borderId="9" xfId="8" applyNumberFormat="1" applyFont="1" applyFill="1" applyBorder="1"/>
    <xf numFmtId="164" fontId="45" fillId="2" borderId="7" xfId="8" applyNumberFormat="1" applyFont="1" applyBorder="1"/>
    <xf numFmtId="9" fontId="9" fillId="21" borderId="8" xfId="8" applyNumberFormat="1" applyFont="1" applyFill="1" applyBorder="1"/>
    <xf numFmtId="164" fontId="9" fillId="21" borderId="9" xfId="8" applyNumberFormat="1" applyFont="1" applyFill="1" applyBorder="1" applyAlignment="1">
      <alignment horizontal="right"/>
    </xf>
    <xf numFmtId="164" fontId="9" fillId="21" borderId="9" xfId="8" applyNumberFormat="1" applyFont="1" applyFill="1" applyBorder="1"/>
    <xf numFmtId="9" fontId="9" fillId="21" borderId="9" xfId="9" applyNumberFormat="1" applyFont="1" applyFill="1" applyBorder="1"/>
    <xf numFmtId="9" fontId="9" fillId="21" borderId="9" xfId="8" applyNumberFormat="1" applyFont="1" applyFill="1" applyBorder="1"/>
    <xf numFmtId="164" fontId="9" fillId="21" borderId="7" xfId="8" applyNumberFormat="1" applyFont="1" applyFill="1" applyBorder="1"/>
    <xf numFmtId="9" fontId="9" fillId="20" borderId="8" xfId="8" applyNumberFormat="1" applyFont="1" applyFill="1" applyBorder="1"/>
    <xf numFmtId="164" fontId="9" fillId="20" borderId="9" xfId="8" applyNumberFormat="1" applyFont="1" applyFill="1" applyBorder="1" applyAlignment="1">
      <alignment horizontal="right"/>
    </xf>
    <xf numFmtId="164" fontId="9" fillId="20" borderId="9" xfId="8" applyNumberFormat="1" applyFont="1" applyFill="1" applyBorder="1"/>
    <xf numFmtId="9" fontId="9" fillId="20" borderId="9" xfId="9" applyNumberFormat="1" applyFont="1" applyFill="1" applyBorder="1"/>
    <xf numFmtId="9" fontId="9" fillId="20" borderId="9" xfId="8" applyNumberFormat="1" applyFont="1" applyFill="1" applyBorder="1"/>
    <xf numFmtId="164" fontId="9" fillId="20" borderId="7" xfId="8" applyNumberFormat="1" applyFont="1" applyFill="1" applyBorder="1"/>
    <xf numFmtId="9" fontId="9" fillId="23" borderId="8" xfId="8" applyNumberFormat="1" applyFont="1" applyFill="1" applyBorder="1"/>
    <xf numFmtId="164" fontId="9" fillId="23" borderId="9" xfId="8" applyNumberFormat="1" applyFont="1" applyFill="1" applyBorder="1"/>
    <xf numFmtId="9" fontId="9" fillId="23" borderId="9" xfId="9" applyNumberFormat="1" applyFont="1" applyFill="1" applyBorder="1"/>
    <xf numFmtId="9" fontId="9" fillId="23" borderId="9" xfId="8" applyNumberFormat="1" applyFont="1" applyFill="1" applyBorder="1"/>
    <xf numFmtId="164" fontId="9" fillId="23" borderId="7" xfId="8" applyNumberFormat="1" applyFont="1" applyFill="1" applyBorder="1"/>
    <xf numFmtId="9" fontId="9" fillId="28" borderId="8" xfId="8" applyNumberFormat="1" applyFont="1" applyFill="1" applyBorder="1"/>
    <xf numFmtId="164" fontId="9" fillId="28" borderId="9" xfId="8" applyNumberFormat="1" applyFont="1" applyFill="1" applyBorder="1" applyAlignment="1">
      <alignment horizontal="right"/>
    </xf>
    <xf numFmtId="164" fontId="9" fillId="28" borderId="9" xfId="8" applyNumberFormat="1" applyFont="1" applyFill="1" applyBorder="1"/>
    <xf numFmtId="9" fontId="9" fillId="28" borderId="9" xfId="9" applyNumberFormat="1" applyFont="1" applyFill="1" applyBorder="1"/>
    <xf numFmtId="9" fontId="9" fillId="28" borderId="9" xfId="8" applyNumberFormat="1" applyFont="1" applyFill="1" applyBorder="1"/>
    <xf numFmtId="164" fontId="9" fillId="28" borderId="7" xfId="8" applyNumberFormat="1" applyFont="1" applyFill="1" applyBorder="1"/>
    <xf numFmtId="9" fontId="9" fillId="30" borderId="8" xfId="8" applyNumberFormat="1" applyFont="1" applyFill="1" applyBorder="1"/>
    <xf numFmtId="164" fontId="9" fillId="30" borderId="9" xfId="8" applyNumberFormat="1" applyFont="1" applyFill="1" applyBorder="1"/>
    <xf numFmtId="9" fontId="9" fillId="30" borderId="9" xfId="9" applyNumberFormat="1" applyFont="1" applyFill="1" applyBorder="1"/>
    <xf numFmtId="9" fontId="9" fillId="30" borderId="9" xfId="8" applyNumberFormat="1" applyFont="1" applyFill="1" applyBorder="1"/>
    <xf numFmtId="164" fontId="9" fillId="30" borderId="7" xfId="8" applyNumberFormat="1" applyFont="1" applyFill="1" applyBorder="1"/>
    <xf numFmtId="9" fontId="9" fillId="8" borderId="8" xfId="8" applyNumberFormat="1" applyFont="1" applyFill="1" applyBorder="1"/>
    <xf numFmtId="164" fontId="9" fillId="8" borderId="9" xfId="8" applyNumberFormat="1" applyFont="1" applyFill="1" applyBorder="1" applyAlignment="1">
      <alignment horizontal="right"/>
    </xf>
    <xf numFmtId="164" fontId="9" fillId="8" borderId="9" xfId="8" applyNumberFormat="1" applyFont="1" applyFill="1" applyBorder="1"/>
    <xf numFmtId="9" fontId="9" fillId="8" borderId="9" xfId="9" applyNumberFormat="1" applyFont="1" applyFill="1" applyBorder="1"/>
    <xf numFmtId="9" fontId="9" fillId="8" borderId="9" xfId="8" applyNumberFormat="1" applyFont="1" applyFill="1" applyBorder="1"/>
    <xf numFmtId="164" fontId="9" fillId="8" borderId="7" xfId="8" applyNumberFormat="1" applyFont="1" applyFill="1" applyBorder="1"/>
    <xf numFmtId="9" fontId="9" fillId="33" borderId="8" xfId="8" applyNumberFormat="1" applyFont="1" applyFill="1" applyBorder="1"/>
    <xf numFmtId="164" fontId="9" fillId="33" borderId="9" xfId="8" applyNumberFormat="1" applyFont="1" applyFill="1" applyBorder="1"/>
    <xf numFmtId="9" fontId="9" fillId="33" borderId="9" xfId="8" applyNumberFormat="1" applyFont="1" applyFill="1" applyBorder="1"/>
    <xf numFmtId="164" fontId="9" fillId="33" borderId="7" xfId="8" applyNumberFormat="1" applyFont="1" applyFill="1" applyBorder="1"/>
    <xf numFmtId="9" fontId="9" fillId="0" borderId="8" xfId="8" applyNumberFormat="1" applyFont="1" applyFill="1" applyBorder="1"/>
    <xf numFmtId="164" fontId="9" fillId="0" borderId="9" xfId="8" applyNumberFormat="1" applyFont="1" applyFill="1" applyBorder="1" applyAlignment="1">
      <alignment horizontal="right"/>
    </xf>
    <xf numFmtId="9" fontId="9" fillId="0" borderId="9" xfId="9" applyNumberFormat="1" applyFont="1" applyFill="1" applyBorder="1"/>
    <xf numFmtId="164" fontId="9" fillId="0" borderId="7" xfId="8" applyNumberFormat="1" applyFont="1" applyFill="1" applyBorder="1"/>
    <xf numFmtId="9" fontId="7" fillId="0" borderId="0" xfId="8" applyNumberFormat="1" applyFont="1" applyFill="1" applyBorder="1"/>
    <xf numFmtId="9" fontId="45" fillId="2" borderId="9" xfId="5" applyFont="1" applyFill="1" applyBorder="1"/>
    <xf numFmtId="9" fontId="9" fillId="2" borderId="0" xfId="8" applyNumberFormat="1" applyFont="1" applyBorder="1"/>
    <xf numFmtId="9" fontId="45" fillId="2" borderId="16" xfId="8" applyNumberFormat="1" applyFont="1" applyBorder="1"/>
    <xf numFmtId="9" fontId="75" fillId="4" borderId="0" xfId="7" applyNumberFormat="1" applyFont="1" applyBorder="1"/>
    <xf numFmtId="9" fontId="45" fillId="2" borderId="0" xfId="8" applyNumberFormat="1" applyFont="1" applyBorder="1"/>
    <xf numFmtId="164" fontId="75" fillId="4" borderId="4" xfId="7" applyNumberFormat="1" applyFont="1" applyBorder="1"/>
    <xf numFmtId="0" fontId="81" fillId="0" borderId="11" xfId="0" applyFont="1" applyBorder="1" applyAlignment="1">
      <alignment textRotation="90"/>
    </xf>
    <xf numFmtId="0" fontId="82" fillId="0" borderId="10" xfId="0" applyFont="1" applyBorder="1" applyAlignment="1">
      <alignment textRotation="90"/>
    </xf>
    <xf numFmtId="0" fontId="18" fillId="0" borderId="0" xfId="3" applyFont="1" applyBorder="1"/>
    <xf numFmtId="9" fontId="81" fillId="0" borderId="11" xfId="0" applyNumberFormat="1" applyFont="1" applyBorder="1"/>
    <xf numFmtId="167" fontId="81" fillId="0" borderId="11" xfId="13" applyNumberFormat="1" applyFont="1" applyBorder="1"/>
    <xf numFmtId="0" fontId="81" fillId="0" borderId="11" xfId="3" applyFont="1" applyBorder="1"/>
    <xf numFmtId="0" fontId="83" fillId="0" borderId="10" xfId="3" applyFont="1" applyBorder="1"/>
    <xf numFmtId="9" fontId="82" fillId="0" borderId="10" xfId="3" applyNumberFormat="1" applyFont="1" applyBorder="1"/>
    <xf numFmtId="164" fontId="82" fillId="0" borderId="10" xfId="3" applyNumberFormat="1" applyFont="1" applyBorder="1"/>
    <xf numFmtId="0" fontId="18" fillId="0" borderId="4" xfId="3" applyFont="1" applyBorder="1"/>
    <xf numFmtId="167" fontId="81" fillId="0" borderId="12" xfId="13" applyNumberFormat="1" applyFont="1" applyBorder="1"/>
    <xf numFmtId="164" fontId="82" fillId="0" borderId="2" xfId="3" applyNumberFormat="1" applyFont="1" applyBorder="1"/>
    <xf numFmtId="0" fontId="76" fillId="0" borderId="17" xfId="3" applyFont="1" applyBorder="1"/>
    <xf numFmtId="0" fontId="81" fillId="0" borderId="19" xfId="3" applyFont="1" applyBorder="1"/>
    <xf numFmtId="0" fontId="83" fillId="0" borderId="18" xfId="3" applyFont="1" applyBorder="1"/>
    <xf numFmtId="0" fontId="84" fillId="0" borderId="0" xfId="0" applyFont="1"/>
    <xf numFmtId="0" fontId="85" fillId="0" borderId="0" xfId="0" applyFont="1"/>
    <xf numFmtId="0" fontId="86" fillId="0" borderId="0" xfId="3" applyFont="1" applyBorder="1" applyAlignment="1">
      <alignment textRotation="90"/>
    </xf>
    <xf numFmtId="0" fontId="87" fillId="0" borderId="11" xfId="0" applyFont="1" applyBorder="1" applyAlignment="1">
      <alignment textRotation="90"/>
    </xf>
    <xf numFmtId="0" fontId="88" fillId="0" borderId="11" xfId="0" applyFont="1" applyBorder="1" applyAlignment="1">
      <alignment textRotation="90"/>
    </xf>
    <xf numFmtId="0" fontId="89" fillId="0" borderId="0" xfId="3" applyFont="1" applyBorder="1"/>
    <xf numFmtId="0" fontId="89" fillId="38" borderId="11" xfId="3" applyFont="1" applyFill="1" applyBorder="1" applyAlignment="1">
      <alignment horizontal="center"/>
    </xf>
    <xf numFmtId="0" fontId="86" fillId="0" borderId="0" xfId="3" applyFont="1" applyBorder="1"/>
    <xf numFmtId="9" fontId="87" fillId="0" borderId="11" xfId="0" applyNumberFormat="1" applyFont="1" applyBorder="1"/>
    <xf numFmtId="9" fontId="88" fillId="0" borderId="11" xfId="0" applyNumberFormat="1" applyFont="1" applyBorder="1"/>
    <xf numFmtId="9" fontId="86" fillId="0" borderId="8" xfId="0" applyNumberFormat="1" applyFont="1" applyBorder="1"/>
    <xf numFmtId="9" fontId="86" fillId="0" borderId="5" xfId="0" applyNumberFormat="1" applyFont="1" applyBorder="1"/>
    <xf numFmtId="9" fontId="87" fillId="37" borderId="8" xfId="0" applyNumberFormat="1" applyFont="1" applyFill="1" applyBorder="1"/>
    <xf numFmtId="164" fontId="87" fillId="0" borderId="11" xfId="0" applyNumberFormat="1" applyFont="1" applyBorder="1"/>
    <xf numFmtId="164" fontId="88" fillId="0" borderId="11" xfId="0" applyNumberFormat="1" applyFont="1" applyBorder="1"/>
    <xf numFmtId="164" fontId="86" fillId="0" borderId="9" xfId="0" applyNumberFormat="1" applyFont="1" applyBorder="1"/>
    <xf numFmtId="9" fontId="86" fillId="0" borderId="10" xfId="0" applyNumberFormat="1" applyFont="1" applyBorder="1"/>
    <xf numFmtId="164" fontId="87" fillId="37" borderId="9" xfId="0" applyNumberFormat="1" applyFont="1" applyFill="1" applyBorder="1"/>
    <xf numFmtId="0" fontId="86" fillId="0" borderId="9" xfId="0" applyFont="1" applyBorder="1"/>
    <xf numFmtId="9" fontId="86" fillId="0" borderId="9" xfId="0" applyNumberFormat="1" applyFont="1" applyBorder="1"/>
    <xf numFmtId="9" fontId="87" fillId="37" borderId="9" xfId="0" applyNumberFormat="1" applyFont="1" applyFill="1" applyBorder="1"/>
    <xf numFmtId="0" fontId="86" fillId="0" borderId="4" xfId="3" applyFont="1" applyBorder="1"/>
    <xf numFmtId="164" fontId="87" fillId="0" borderId="12" xfId="0" applyNumberFormat="1" applyFont="1" applyBorder="1"/>
    <xf numFmtId="164" fontId="88" fillId="0" borderId="12" xfId="0" applyNumberFormat="1" applyFont="1" applyBorder="1"/>
    <xf numFmtId="164" fontId="87" fillId="37" borderId="7" xfId="0" applyNumberFormat="1" applyFont="1" applyFill="1" applyBorder="1"/>
    <xf numFmtId="9" fontId="86" fillId="0" borderId="2" xfId="0" applyNumberFormat="1" applyFont="1" applyBorder="1"/>
    <xf numFmtId="164" fontId="86" fillId="0" borderId="7" xfId="0" applyNumberFormat="1" applyFont="1" applyBorder="1"/>
    <xf numFmtId="0" fontId="89" fillId="0" borderId="17" xfId="3" applyFont="1" applyFill="1" applyBorder="1"/>
    <xf numFmtId="0" fontId="89" fillId="0" borderId="19" xfId="0" applyFont="1" applyBorder="1"/>
    <xf numFmtId="0" fontId="91" fillId="0" borderId="19" xfId="0" applyFont="1" applyBorder="1"/>
    <xf numFmtId="0" fontId="4" fillId="4" borderId="1" xfId="4" applyBorder="1" applyAlignment="1">
      <alignment horizontal="center"/>
    </xf>
    <xf numFmtId="0" fontId="25" fillId="31" borderId="1" xfId="3" applyFont="1" applyFill="1" applyBorder="1" applyAlignment="1">
      <alignment horizontal="center"/>
    </xf>
    <xf numFmtId="0" fontId="20" fillId="31" borderId="1" xfId="0" applyFont="1" applyFill="1" applyBorder="1" applyAlignment="1">
      <alignment horizontal="center"/>
    </xf>
    <xf numFmtId="0" fontId="11" fillId="4" borderId="3" xfId="7" applyBorder="1" applyAlignment="1">
      <alignment horizontal="center"/>
    </xf>
    <xf numFmtId="0" fontId="11" fillId="4" borderId="6" xfId="7" applyBorder="1" applyAlignment="1">
      <alignment horizontal="center"/>
    </xf>
    <xf numFmtId="9" fontId="92" fillId="3" borderId="8" xfId="9" applyNumberFormat="1" applyFont="1" applyBorder="1"/>
    <xf numFmtId="164" fontId="92" fillId="3" borderId="9" xfId="9" applyNumberFormat="1" applyFont="1" applyBorder="1" applyAlignment="1">
      <alignment horizontal="right"/>
    </xf>
    <xf numFmtId="164" fontId="92" fillId="3" borderId="9" xfId="9" applyNumberFormat="1" applyFont="1" applyBorder="1"/>
    <xf numFmtId="9" fontId="92" fillId="3" borderId="9" xfId="9" applyNumberFormat="1" applyFont="1" applyBorder="1"/>
    <xf numFmtId="164" fontId="92" fillId="3" borderId="7" xfId="9" applyNumberFormat="1" applyFont="1" applyBorder="1"/>
    <xf numFmtId="164" fontId="32" fillId="0" borderId="1" xfId="2" applyNumberFormat="1" applyFont="1" applyFill="1" applyBorder="1" applyAlignment="1">
      <alignment horizontal="center"/>
    </xf>
    <xf numFmtId="0" fontId="18" fillId="0" borderId="0" xfId="3" applyFont="1" applyAlignment="1">
      <alignment textRotation="90"/>
    </xf>
    <xf numFmtId="9" fontId="25" fillId="0" borderId="0" xfId="7" applyNumberFormat="1" applyFont="1" applyFill="1"/>
    <xf numFmtId="164" fontId="25" fillId="15" borderId="0" xfId="9" applyNumberFormat="1" applyFont="1" applyFill="1"/>
    <xf numFmtId="9" fontId="25" fillId="15" borderId="0" xfId="7" applyNumberFormat="1" applyFont="1" applyFill="1"/>
    <xf numFmtId="164" fontId="25" fillId="15" borderId="0" xfId="8" applyNumberFormat="1" applyFont="1" applyFill="1"/>
    <xf numFmtId="9" fontId="25" fillId="13" borderId="0" xfId="7" applyNumberFormat="1" applyFont="1" applyFill="1"/>
    <xf numFmtId="164" fontId="25" fillId="13" borderId="0" xfId="8" applyNumberFormat="1" applyFont="1" applyFill="1"/>
    <xf numFmtId="164" fontId="25" fillId="14" borderId="0" xfId="9" applyNumberFormat="1" applyFont="1" applyFill="1"/>
    <xf numFmtId="9" fontId="25" fillId="14" borderId="0" xfId="7" applyNumberFormat="1" applyFont="1" applyFill="1"/>
    <xf numFmtId="164" fontId="25" fillId="21" borderId="0" xfId="8" applyNumberFormat="1" applyFont="1" applyFill="1"/>
    <xf numFmtId="9" fontId="25" fillId="21" borderId="0" xfId="5" applyFont="1" applyFill="1"/>
    <xf numFmtId="164" fontId="25" fillId="23" borderId="0" xfId="8" applyNumberFormat="1" applyFont="1" applyFill="1"/>
    <xf numFmtId="164" fontId="25" fillId="28" borderId="0" xfId="8" applyNumberFormat="1" applyFont="1" applyFill="1"/>
    <xf numFmtId="9" fontId="25" fillId="28" borderId="0" xfId="5" applyFont="1" applyFill="1"/>
    <xf numFmtId="164" fontId="25" fillId="8" borderId="0" xfId="8" applyNumberFormat="1" applyFont="1" applyFill="1"/>
    <xf numFmtId="9" fontId="95" fillId="8" borderId="0" xfId="8" applyNumberFormat="1" applyFont="1" applyFill="1" applyAlignment="1">
      <alignment horizontal="right"/>
    </xf>
    <xf numFmtId="0" fontId="81" fillId="0" borderId="0" xfId="3" applyFont="1"/>
    <xf numFmtId="9" fontId="25" fillId="15" borderId="0" xfId="9" applyNumberFormat="1" applyFont="1" applyFill="1"/>
    <xf numFmtId="9" fontId="25" fillId="15" borderId="0" xfId="8" applyNumberFormat="1" applyFont="1" applyFill="1"/>
    <xf numFmtId="9" fontId="25" fillId="13" borderId="0" xfId="8" applyNumberFormat="1" applyFont="1" applyFill="1"/>
    <xf numFmtId="9" fontId="25" fillId="13" borderId="0" xfId="9" applyNumberFormat="1" applyFont="1" applyFill="1"/>
    <xf numFmtId="9" fontId="25" fillId="14" borderId="0" xfId="8" applyNumberFormat="1" applyFont="1" applyFill="1"/>
    <xf numFmtId="9" fontId="25" fillId="14" borderId="0" xfId="9" applyNumberFormat="1" applyFont="1" applyFill="1"/>
    <xf numFmtId="9" fontId="25" fillId="21" borderId="0" xfId="9" applyNumberFormat="1" applyFont="1" applyFill="1"/>
    <xf numFmtId="9" fontId="25" fillId="23" borderId="0" xfId="9" applyNumberFormat="1" applyFont="1" applyFill="1"/>
    <xf numFmtId="9" fontId="25" fillId="28" borderId="0" xfId="9" applyNumberFormat="1" applyFont="1" applyFill="1"/>
    <xf numFmtId="9" fontId="25" fillId="8" borderId="0" xfId="9" applyNumberFormat="1" applyFont="1" applyFill="1"/>
    <xf numFmtId="9" fontId="25" fillId="0" borderId="0" xfId="9" applyNumberFormat="1" applyFont="1" applyFill="1"/>
    <xf numFmtId="9" fontId="25" fillId="23" borderId="0" xfId="8" applyNumberFormat="1" applyFont="1" applyFill="1"/>
    <xf numFmtId="9" fontId="25" fillId="28" borderId="0" xfId="8" applyNumberFormat="1" applyFont="1" applyFill="1"/>
    <xf numFmtId="9" fontId="25" fillId="8" borderId="0" xfId="8" applyNumberFormat="1" applyFont="1" applyFill="1"/>
    <xf numFmtId="9" fontId="25" fillId="21" borderId="0" xfId="8" applyNumberFormat="1" applyFont="1" applyFill="1"/>
    <xf numFmtId="9" fontId="25" fillId="15" borderId="0" xfId="8" applyNumberFormat="1" applyFont="1" applyFill="1" applyAlignment="1">
      <alignment horizontal="right"/>
    </xf>
    <xf numFmtId="164" fontId="25" fillId="13" borderId="0" xfId="8" applyNumberFormat="1" applyFont="1" applyFill="1" applyBorder="1" applyAlignment="1">
      <alignment horizontal="right"/>
    </xf>
    <xf numFmtId="9" fontId="25" fillId="13" borderId="0" xfId="8" applyNumberFormat="1" applyFont="1" applyFill="1" applyAlignment="1">
      <alignment horizontal="right"/>
    </xf>
    <xf numFmtId="164" fontId="25" fillId="21" borderId="0" xfId="8" applyNumberFormat="1" applyFont="1" applyFill="1" applyBorder="1" applyAlignment="1">
      <alignment horizontal="right"/>
    </xf>
    <xf numFmtId="164" fontId="25" fillId="23" borderId="0" xfId="8" applyNumberFormat="1" applyFont="1" applyFill="1" applyBorder="1" applyAlignment="1">
      <alignment horizontal="right"/>
    </xf>
    <xf numFmtId="164" fontId="25" fillId="8" borderId="0" xfId="8" applyNumberFormat="1" applyFont="1" applyFill="1" applyBorder="1" applyAlignment="1">
      <alignment horizontal="right"/>
    </xf>
    <xf numFmtId="0" fontId="81" fillId="0" borderId="21" xfId="3" applyFont="1" applyBorder="1"/>
    <xf numFmtId="0" fontId="97" fillId="0" borderId="0" xfId="3" applyFont="1" applyFill="1" applyAlignment="1">
      <alignment horizontal="center"/>
    </xf>
    <xf numFmtId="9" fontId="20" fillId="0" borderId="10" xfId="9" applyNumberFormat="1" applyFont="1" applyFill="1" applyBorder="1"/>
    <xf numFmtId="9" fontId="25" fillId="0" borderId="0" xfId="7" applyNumberFormat="1" applyFont="1" applyFill="1" applyBorder="1"/>
    <xf numFmtId="0" fontId="5" fillId="0" borderId="2" xfId="0" applyFont="1" applyBorder="1" applyAlignment="1">
      <alignment textRotation="90"/>
    </xf>
    <xf numFmtId="0" fontId="5" fillId="0" borderId="0" xfId="0" applyFont="1"/>
    <xf numFmtId="0" fontId="5" fillId="0" borderId="10" xfId="0" applyFont="1" applyBorder="1"/>
    <xf numFmtId="0" fontId="5" fillId="20" borderId="0" xfId="0" applyFont="1" applyFill="1" applyBorder="1"/>
    <xf numFmtId="0" fontId="5" fillId="20" borderId="10" xfId="0" applyFont="1" applyFill="1" applyBorder="1"/>
    <xf numFmtId="0" fontId="98" fillId="0" borderId="2" xfId="0" applyFont="1" applyBorder="1" applyAlignment="1">
      <alignment textRotation="90"/>
    </xf>
    <xf numFmtId="0" fontId="99" fillId="20" borderId="4" xfId="0" applyFont="1" applyFill="1" applyBorder="1" applyAlignment="1">
      <alignment textRotation="90"/>
    </xf>
    <xf numFmtId="0" fontId="100" fillId="20" borderId="2" xfId="0" applyFont="1" applyFill="1" applyBorder="1" applyAlignment="1">
      <alignment textRotation="90"/>
    </xf>
    <xf numFmtId="0" fontId="98" fillId="0" borderId="4" xfId="0" applyFont="1" applyBorder="1" applyAlignment="1">
      <alignment textRotation="90"/>
    </xf>
    <xf numFmtId="0" fontId="101" fillId="0" borderId="10" xfId="3" applyFont="1" applyBorder="1"/>
    <xf numFmtId="164" fontId="99" fillId="20" borderId="0" xfId="0" applyNumberFormat="1" applyFont="1" applyFill="1" applyBorder="1"/>
    <xf numFmtId="164" fontId="100" fillId="20" borderId="10" xfId="0" applyNumberFormat="1" applyFont="1" applyFill="1" applyBorder="1"/>
    <xf numFmtId="164" fontId="98" fillId="0" borderId="0" xfId="0" applyNumberFormat="1" applyFont="1"/>
    <xf numFmtId="9" fontId="98" fillId="0" borderId="2" xfId="0" applyNumberFormat="1" applyFont="1" applyBorder="1"/>
    <xf numFmtId="0" fontId="98" fillId="0" borderId="0" xfId="0" applyFont="1"/>
    <xf numFmtId="9" fontId="99" fillId="20" borderId="0" xfId="0" applyNumberFormat="1" applyFont="1" applyFill="1" applyBorder="1"/>
    <xf numFmtId="9" fontId="100" fillId="20" borderId="10" xfId="0" applyNumberFormat="1" applyFont="1" applyFill="1" applyBorder="1"/>
    <xf numFmtId="9" fontId="98" fillId="0" borderId="0" xfId="0" applyNumberFormat="1" applyFont="1"/>
    <xf numFmtId="9" fontId="98" fillId="0" borderId="10" xfId="0" applyNumberFormat="1" applyFont="1" applyBorder="1"/>
    <xf numFmtId="164" fontId="98" fillId="0" borderId="10" xfId="0" applyNumberFormat="1" applyFont="1" applyBorder="1"/>
    <xf numFmtId="0" fontId="99" fillId="0" borderId="18" xfId="0" applyFont="1" applyBorder="1"/>
    <xf numFmtId="0" fontId="99" fillId="20" borderId="17" xfId="0" applyFont="1" applyFill="1" applyBorder="1"/>
    <xf numFmtId="0" fontId="99" fillId="20" borderId="18" xfId="0" applyFont="1" applyFill="1" applyBorder="1"/>
    <xf numFmtId="0" fontId="99" fillId="0" borderId="17" xfId="0" applyFont="1" applyBorder="1"/>
    <xf numFmtId="0" fontId="102" fillId="0" borderId="4" xfId="0" applyFont="1" applyFill="1" applyBorder="1"/>
    <xf numFmtId="0" fontId="102" fillId="0" borderId="15" xfId="0" applyFont="1" applyFill="1" applyBorder="1"/>
    <xf numFmtId="164" fontId="25" fillId="28" borderId="0" xfId="8" applyNumberFormat="1" applyFont="1" applyFill="1" applyBorder="1" applyAlignment="1">
      <alignment horizontal="right"/>
    </xf>
    <xf numFmtId="164" fontId="25" fillId="14" borderId="0" xfId="8" applyNumberFormat="1" applyFont="1" applyFill="1" applyBorder="1" applyAlignment="1">
      <alignment horizontal="right"/>
    </xf>
    <xf numFmtId="9" fontId="95" fillId="28" borderId="0" xfId="8" applyNumberFormat="1" applyFont="1" applyFill="1" applyAlignment="1">
      <alignment horizontal="right"/>
    </xf>
    <xf numFmtId="9" fontId="96" fillId="28" borderId="0" xfId="7" applyNumberFormat="1" applyFont="1" applyFill="1"/>
    <xf numFmtId="9" fontId="96" fillId="8" borderId="0" xfId="7" applyNumberFormat="1" applyFont="1" applyFill="1" applyAlignment="1">
      <alignment horizontal="right"/>
    </xf>
    <xf numFmtId="9" fontId="96" fillId="8" borderId="0" xfId="7" applyNumberFormat="1" applyFont="1" applyFill="1"/>
    <xf numFmtId="9" fontId="96" fillId="21" borderId="0" xfId="7" applyNumberFormat="1" applyFont="1" applyFill="1"/>
    <xf numFmtId="9" fontId="95" fillId="21" borderId="0" xfId="8" applyNumberFormat="1" applyFont="1" applyFill="1" applyAlignment="1">
      <alignment horizontal="right"/>
    </xf>
    <xf numFmtId="164" fontId="95" fillId="39" borderId="0" xfId="9" applyNumberFormat="1" applyFont="1" applyFill="1" applyBorder="1"/>
    <xf numFmtId="9" fontId="95" fillId="40" borderId="0" xfId="7" applyNumberFormat="1" applyFont="1" applyFill="1"/>
    <xf numFmtId="9" fontId="96" fillId="40" borderId="0" xfId="8" applyNumberFormat="1" applyFont="1" applyFill="1"/>
    <xf numFmtId="9" fontId="25" fillId="40" borderId="0" xfId="8" applyNumberFormat="1" applyFont="1" applyFill="1"/>
    <xf numFmtId="9" fontId="96" fillId="40" borderId="0" xfId="9" applyNumberFormat="1" applyFont="1" applyFill="1" applyBorder="1"/>
    <xf numFmtId="9" fontId="25" fillId="38" borderId="0" xfId="7" applyNumberFormat="1" applyFont="1" applyFill="1"/>
    <xf numFmtId="167" fontId="96" fillId="40" borderId="0" xfId="13" applyNumberFormat="1" applyFont="1" applyFill="1"/>
    <xf numFmtId="9" fontId="96" fillId="14" borderId="0" xfId="7" applyNumberFormat="1" applyFont="1" applyFill="1"/>
    <xf numFmtId="9" fontId="96" fillId="23" borderId="0" xfId="7" applyNumberFormat="1" applyFont="1" applyFill="1"/>
    <xf numFmtId="9" fontId="95" fillId="23" borderId="0" xfId="8" applyNumberFormat="1" applyFont="1" applyFill="1" applyAlignment="1">
      <alignment horizontal="right"/>
    </xf>
    <xf numFmtId="164" fontId="59" fillId="14" borderId="0" xfId="8" applyNumberFormat="1" applyFont="1" applyFill="1"/>
    <xf numFmtId="0" fontId="20" fillId="0" borderId="4" xfId="2" applyFont="1" applyFill="1" applyBorder="1" applyAlignment="1">
      <alignment horizontal="center"/>
    </xf>
    <xf numFmtId="0" fontId="20" fillId="0" borderId="4" xfId="1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6" fillId="9" borderId="0" xfId="0" applyFont="1" applyFill="1"/>
    <xf numFmtId="0" fontId="10" fillId="9" borderId="0" xfId="0" applyFont="1" applyFill="1" applyAlignment="1">
      <alignment horizontal="left"/>
    </xf>
    <xf numFmtId="0" fontId="7" fillId="25" borderId="0" xfId="1" applyFont="1" applyFill="1" applyBorder="1" applyAlignment="1">
      <alignment horizontal="center"/>
    </xf>
    <xf numFmtId="0" fontId="20" fillId="0" borderId="0" xfId="3" applyFont="1" applyFill="1" applyBorder="1"/>
    <xf numFmtId="0" fontId="18" fillId="0" borderId="0" xfId="0" applyFont="1" applyBorder="1"/>
    <xf numFmtId="0" fontId="7" fillId="0" borderId="3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0" fontId="26" fillId="3" borderId="4" xfId="2" applyFont="1" applyBorder="1" applyAlignment="1">
      <alignment horizontal="center"/>
    </xf>
    <xf numFmtId="0" fontId="22" fillId="2" borderId="4" xfId="1" applyFont="1" applyBorder="1" applyAlignment="1">
      <alignment horizontal="center"/>
    </xf>
    <xf numFmtId="0" fontId="25" fillId="0" borderId="0" xfId="3" applyFont="1" applyFill="1" applyAlignment="1">
      <alignment horizontal="center" vertical="center" textRotation="90"/>
    </xf>
    <xf numFmtId="0" fontId="25" fillId="0" borderId="0" xfId="0" applyFont="1" applyFill="1" applyBorder="1" applyAlignment="1">
      <alignment horizontal="center"/>
    </xf>
    <xf numFmtId="0" fontId="1" fillId="2" borderId="4" xfId="1" applyFont="1" applyBorder="1" applyAlignment="1">
      <alignment horizontal="center"/>
    </xf>
    <xf numFmtId="0" fontId="34" fillId="2" borderId="4" xfId="8" applyFont="1" applyBorder="1" applyAlignment="1">
      <alignment horizontal="center"/>
    </xf>
    <xf numFmtId="0" fontId="28" fillId="3" borderId="4" xfId="2" applyFont="1" applyBorder="1" applyAlignment="1">
      <alignment horizontal="center"/>
    </xf>
    <xf numFmtId="0" fontId="60" fillId="3" borderId="4" xfId="9" applyFont="1" applyBorder="1" applyAlignment="1">
      <alignment horizontal="center"/>
    </xf>
    <xf numFmtId="0" fontId="66" fillId="3" borderId="4" xfId="2" applyFont="1" applyBorder="1" applyAlignment="1">
      <alignment horizontal="center"/>
    </xf>
    <xf numFmtId="0" fontId="31" fillId="2" borderId="4" xfId="1" applyFont="1" applyBorder="1" applyAlignment="1">
      <alignment horizontal="center"/>
    </xf>
    <xf numFmtId="0" fontId="29" fillId="2" borderId="4" xfId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14" borderId="8" xfId="0" applyFont="1" applyFill="1" applyBorder="1" applyAlignment="1">
      <alignment horizontal="center"/>
    </xf>
    <xf numFmtId="0" fontId="9" fillId="14" borderId="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0" borderId="0" xfId="0" applyFont="1" applyFill="1" applyAlignment="1">
      <alignment horizontal="center"/>
    </xf>
    <xf numFmtId="0" fontId="6" fillId="11" borderId="0" xfId="0" applyFont="1" applyFill="1" applyAlignment="1">
      <alignment horizontal="center"/>
    </xf>
    <xf numFmtId="0" fontId="6" fillId="10" borderId="0" xfId="0" applyFont="1" applyFill="1" applyAlignment="1">
      <alignment horizontal="center"/>
    </xf>
    <xf numFmtId="0" fontId="6" fillId="26" borderId="0" xfId="0" applyFont="1" applyFill="1" applyAlignment="1">
      <alignment horizontal="center"/>
    </xf>
    <xf numFmtId="0" fontId="6" fillId="25" borderId="0" xfId="0" applyFont="1" applyFill="1" applyAlignment="1">
      <alignment horizontal="center"/>
    </xf>
    <xf numFmtId="0" fontId="6" fillId="32" borderId="0" xfId="0" applyFont="1" applyFill="1" applyAlignment="1">
      <alignment horizontal="center"/>
    </xf>
    <xf numFmtId="0" fontId="6" fillId="31" borderId="0" xfId="0" applyFont="1" applyFill="1" applyAlignment="1">
      <alignment horizontal="center"/>
    </xf>
    <xf numFmtId="0" fontId="77" fillId="8" borderId="4" xfId="3" applyFont="1" applyFill="1" applyBorder="1" applyAlignment="1">
      <alignment horizontal="center"/>
    </xf>
    <xf numFmtId="0" fontId="7" fillId="8" borderId="0" xfId="4" applyFont="1" applyFill="1" applyAlignment="1">
      <alignment horizontal="center" textRotation="90"/>
    </xf>
    <xf numFmtId="0" fontId="77" fillId="0" borderId="4" xfId="3" applyFont="1" applyFill="1" applyBorder="1" applyAlignment="1">
      <alignment horizontal="center"/>
    </xf>
    <xf numFmtId="0" fontId="7" fillId="20" borderId="0" xfId="4" applyFont="1" applyFill="1" applyAlignment="1">
      <alignment horizontal="center" textRotation="90"/>
    </xf>
    <xf numFmtId="0" fontId="7" fillId="21" borderId="0" xfId="4" applyFont="1" applyFill="1" applyAlignment="1">
      <alignment horizontal="center" textRotation="90"/>
    </xf>
    <xf numFmtId="0" fontId="77" fillId="33" borderId="4" xfId="3" applyFont="1" applyFill="1" applyBorder="1" applyAlignment="1">
      <alignment horizontal="center"/>
    </xf>
    <xf numFmtId="0" fontId="7" fillId="0" borderId="0" xfId="4" applyFont="1" applyFill="1" applyAlignment="1">
      <alignment horizontal="center" textRotation="90"/>
    </xf>
    <xf numFmtId="0" fontId="7" fillId="33" borderId="0" xfId="4" applyFont="1" applyFill="1" applyAlignment="1">
      <alignment horizontal="center" textRotation="90"/>
    </xf>
    <xf numFmtId="9" fontId="77" fillId="8" borderId="17" xfId="8" applyNumberFormat="1" applyFont="1" applyFill="1" applyBorder="1" applyAlignment="1">
      <alignment horizontal="center"/>
    </xf>
    <xf numFmtId="9" fontId="77" fillId="33" borderId="17" xfId="8" applyNumberFormat="1" applyFont="1" applyFill="1" applyBorder="1" applyAlignment="1">
      <alignment horizontal="center"/>
    </xf>
    <xf numFmtId="9" fontId="93" fillId="3" borderId="17" xfId="9" applyNumberFormat="1" applyFont="1" applyBorder="1" applyAlignment="1">
      <alignment horizontal="center"/>
    </xf>
    <xf numFmtId="9" fontId="77" fillId="0" borderId="17" xfId="8" applyNumberFormat="1" applyFont="1" applyFill="1" applyBorder="1" applyAlignment="1">
      <alignment horizontal="center"/>
    </xf>
    <xf numFmtId="0" fontId="77" fillId="15" borderId="4" xfId="3" applyFont="1" applyFill="1" applyBorder="1" applyAlignment="1">
      <alignment horizontal="center"/>
    </xf>
    <xf numFmtId="0" fontId="77" fillId="13" borderId="4" xfId="3" applyFont="1" applyFill="1" applyBorder="1" applyAlignment="1">
      <alignment horizontal="center"/>
    </xf>
    <xf numFmtId="0" fontId="77" fillId="38" borderId="4" xfId="3" applyFont="1" applyFill="1" applyBorder="1" applyAlignment="1">
      <alignment horizontal="center"/>
    </xf>
    <xf numFmtId="0" fontId="77" fillId="14" borderId="4" xfId="3" applyFont="1" applyFill="1" applyBorder="1" applyAlignment="1">
      <alignment horizontal="center"/>
    </xf>
    <xf numFmtId="0" fontId="77" fillId="21" borderId="4" xfId="3" applyFont="1" applyFill="1" applyBorder="1" applyAlignment="1">
      <alignment horizontal="center"/>
    </xf>
    <xf numFmtId="0" fontId="77" fillId="20" borderId="4" xfId="3" applyFont="1" applyFill="1" applyBorder="1" applyAlignment="1">
      <alignment horizontal="center"/>
    </xf>
    <xf numFmtId="9" fontId="78" fillId="2" borderId="17" xfId="1" applyNumberFormat="1" applyFont="1" applyBorder="1" applyAlignment="1">
      <alignment horizontal="center"/>
    </xf>
    <xf numFmtId="9" fontId="79" fillId="4" borderId="17" xfId="7" applyNumberFormat="1" applyFont="1" applyBorder="1" applyAlignment="1">
      <alignment horizontal="center"/>
    </xf>
    <xf numFmtId="9" fontId="77" fillId="13" borderId="17" xfId="8" applyNumberFormat="1" applyFont="1" applyFill="1" applyBorder="1" applyAlignment="1">
      <alignment horizontal="center"/>
    </xf>
    <xf numFmtId="9" fontId="77" fillId="21" borderId="17" xfId="8" applyNumberFormat="1" applyFont="1" applyFill="1" applyBorder="1" applyAlignment="1">
      <alignment horizontal="center"/>
    </xf>
    <xf numFmtId="9" fontId="77" fillId="20" borderId="17" xfId="8" applyNumberFormat="1" applyFont="1" applyFill="1" applyBorder="1" applyAlignment="1">
      <alignment horizontal="center"/>
    </xf>
    <xf numFmtId="0" fontId="7" fillId="15" borderId="0" xfId="4" applyFont="1" applyFill="1" applyAlignment="1">
      <alignment horizontal="center" textRotation="90"/>
    </xf>
    <xf numFmtId="9" fontId="77" fillId="23" borderId="17" xfId="8" applyNumberFormat="1" applyFont="1" applyFill="1" applyBorder="1" applyAlignment="1">
      <alignment horizontal="center"/>
    </xf>
    <xf numFmtId="9" fontId="77" fillId="28" borderId="17" xfId="8" applyNumberFormat="1" applyFont="1" applyFill="1" applyBorder="1" applyAlignment="1">
      <alignment horizontal="center"/>
    </xf>
    <xf numFmtId="9" fontId="77" fillId="30" borderId="17" xfId="8" applyNumberFormat="1" applyFont="1" applyFill="1" applyBorder="1" applyAlignment="1">
      <alignment horizontal="center"/>
    </xf>
    <xf numFmtId="0" fontId="7" fillId="23" borderId="0" xfId="4" applyFont="1" applyFill="1" applyAlignment="1">
      <alignment horizontal="center" textRotation="90"/>
    </xf>
    <xf numFmtId="0" fontId="7" fillId="28" borderId="0" xfId="4" applyFont="1" applyFill="1" applyAlignment="1">
      <alignment horizontal="center" textRotation="90"/>
    </xf>
    <xf numFmtId="0" fontId="7" fillId="30" borderId="0" xfId="4" applyFont="1" applyFill="1" applyAlignment="1">
      <alignment horizontal="center" textRotation="90"/>
    </xf>
    <xf numFmtId="0" fontId="7" fillId="13" borderId="0" xfId="4" applyFont="1" applyFill="1" applyAlignment="1">
      <alignment horizontal="center" textRotation="90"/>
    </xf>
    <xf numFmtId="0" fontId="77" fillId="23" borderId="4" xfId="3" applyFont="1" applyFill="1" applyBorder="1" applyAlignment="1">
      <alignment horizontal="center"/>
    </xf>
    <xf numFmtId="0" fontId="77" fillId="28" borderId="4" xfId="3" applyFont="1" applyFill="1" applyBorder="1" applyAlignment="1">
      <alignment horizontal="center"/>
    </xf>
    <xf numFmtId="0" fontId="77" fillId="30" borderId="4" xfId="3" applyFont="1" applyFill="1" applyBorder="1" applyAlignment="1">
      <alignment horizontal="center"/>
    </xf>
    <xf numFmtId="0" fontId="7" fillId="14" borderId="0" xfId="4" applyFont="1" applyFill="1" applyAlignment="1">
      <alignment horizontal="center" textRotation="90"/>
    </xf>
    <xf numFmtId="0" fontId="7" fillId="38" borderId="0" xfId="4" applyFont="1" applyFill="1" applyAlignment="1">
      <alignment horizontal="center" textRotation="90" wrapText="1"/>
    </xf>
    <xf numFmtId="0" fontId="38" fillId="28" borderId="0" xfId="4" applyFont="1" applyFill="1" applyAlignment="1">
      <alignment horizontal="center" textRotation="90"/>
    </xf>
    <xf numFmtId="0" fontId="90" fillId="28" borderId="4" xfId="3" applyFont="1" applyFill="1" applyBorder="1" applyAlignment="1">
      <alignment horizontal="center"/>
    </xf>
    <xf numFmtId="0" fontId="86" fillId="0" borderId="0" xfId="0" applyFont="1" applyBorder="1" applyAlignment="1">
      <alignment horizontal="center" textRotation="90"/>
    </xf>
    <xf numFmtId="0" fontId="89" fillId="38" borderId="0" xfId="3" applyFont="1" applyFill="1" applyBorder="1" applyAlignment="1">
      <alignment horizontal="center"/>
    </xf>
    <xf numFmtId="0" fontId="38" fillId="15" borderId="0" xfId="4" applyFont="1" applyFill="1" applyAlignment="1">
      <alignment horizontal="center" textRotation="90"/>
    </xf>
    <xf numFmtId="0" fontId="90" fillId="15" borderId="4" xfId="3" applyFont="1" applyFill="1" applyBorder="1" applyAlignment="1">
      <alignment horizontal="center"/>
    </xf>
    <xf numFmtId="0" fontId="90" fillId="13" borderId="4" xfId="3" applyFont="1" applyFill="1" applyBorder="1" applyAlignment="1">
      <alignment horizontal="center"/>
    </xf>
    <xf numFmtId="0" fontId="38" fillId="21" borderId="0" xfId="4" applyFont="1" applyFill="1" applyAlignment="1">
      <alignment horizontal="center" textRotation="90"/>
    </xf>
    <xf numFmtId="0" fontId="90" fillId="21" borderId="4" xfId="3" applyFont="1" applyFill="1" applyBorder="1" applyAlignment="1">
      <alignment horizontal="center"/>
    </xf>
    <xf numFmtId="9" fontId="89" fillId="0" borderId="17" xfId="0" applyNumberFormat="1" applyFont="1" applyBorder="1" applyAlignment="1">
      <alignment horizontal="center"/>
    </xf>
    <xf numFmtId="0" fontId="98" fillId="0" borderId="7" xfId="0" applyFont="1" applyBorder="1" applyAlignment="1">
      <alignment horizontal="center" textRotation="90"/>
    </xf>
    <xf numFmtId="0" fontId="98" fillId="0" borderId="2" xfId="0" applyFont="1" applyBorder="1" applyAlignment="1">
      <alignment horizontal="center" textRotation="90"/>
    </xf>
    <xf numFmtId="9" fontId="99" fillId="0" borderId="20" xfId="5" applyFont="1" applyBorder="1" applyAlignment="1">
      <alignment horizontal="center"/>
    </xf>
    <xf numFmtId="9" fontId="99" fillId="0" borderId="18" xfId="5" applyFont="1" applyBorder="1" applyAlignment="1">
      <alignment horizontal="center"/>
    </xf>
    <xf numFmtId="0" fontId="20" fillId="0" borderId="9" xfId="2" applyFont="1" applyFill="1" applyBorder="1" applyAlignment="1">
      <alignment horizontal="center" textRotation="90"/>
    </xf>
    <xf numFmtId="0" fontId="20" fillId="0" borderId="0" xfId="2" applyFont="1" applyFill="1" applyAlignment="1">
      <alignment horizontal="center" textRotation="90"/>
    </xf>
    <xf numFmtId="9" fontId="94" fillId="2" borderId="23" xfId="8" applyNumberFormat="1" applyFont="1" applyBorder="1" applyAlignment="1">
      <alignment horizontal="center"/>
    </xf>
    <xf numFmtId="9" fontId="94" fillId="2" borderId="21" xfId="8" applyNumberFormat="1" applyFont="1" applyBorder="1" applyAlignment="1">
      <alignment horizontal="center"/>
    </xf>
    <xf numFmtId="0" fontId="20" fillId="14" borderId="0" xfId="1" applyFont="1" applyFill="1" applyAlignment="1">
      <alignment horizontal="center" textRotation="90"/>
    </xf>
    <xf numFmtId="9" fontId="25" fillId="14" borderId="21" xfId="7" applyNumberFormat="1" applyFont="1" applyFill="1" applyBorder="1" applyAlignment="1">
      <alignment horizontal="center"/>
    </xf>
    <xf numFmtId="0" fontId="20" fillId="15" borderId="0" xfId="4" applyFont="1" applyFill="1" applyAlignment="1">
      <alignment horizontal="center" textRotation="90"/>
    </xf>
    <xf numFmtId="9" fontId="25" fillId="15" borderId="21" xfId="7" applyNumberFormat="1" applyFont="1" applyFill="1" applyBorder="1" applyAlignment="1">
      <alignment horizontal="center"/>
    </xf>
    <xf numFmtId="9" fontId="25" fillId="8" borderId="21" xfId="7" applyNumberFormat="1" applyFont="1" applyFill="1" applyBorder="1" applyAlignment="1">
      <alignment horizontal="center"/>
    </xf>
    <xf numFmtId="0" fontId="20" fillId="20" borderId="0" xfId="4" applyFont="1" applyFill="1" applyAlignment="1">
      <alignment horizontal="center" textRotation="90"/>
    </xf>
    <xf numFmtId="9" fontId="25" fillId="11" borderId="21" xfId="7" applyNumberFormat="1" applyFont="1" applyFill="1" applyBorder="1" applyAlignment="1">
      <alignment horizontal="center"/>
    </xf>
    <xf numFmtId="9" fontId="25" fillId="25" borderId="21" xfId="7" applyNumberFormat="1" applyFont="1" applyFill="1" applyBorder="1" applyAlignment="1">
      <alignment horizontal="center"/>
    </xf>
    <xf numFmtId="9" fontId="25" fillId="25" borderId="22" xfId="7" applyNumberFormat="1" applyFont="1" applyFill="1" applyBorder="1" applyAlignment="1">
      <alignment horizontal="center"/>
    </xf>
    <xf numFmtId="9" fontId="25" fillId="15" borderId="23" xfId="7" applyNumberFormat="1" applyFont="1" applyFill="1" applyBorder="1" applyAlignment="1">
      <alignment horizontal="center"/>
    </xf>
    <xf numFmtId="9" fontId="25" fillId="13" borderId="21" xfId="7" applyNumberFormat="1" applyFont="1" applyFill="1" applyBorder="1" applyAlignment="1">
      <alignment horizontal="center"/>
    </xf>
    <xf numFmtId="0" fontId="20" fillId="15" borderId="0" xfId="2" applyFont="1" applyFill="1" applyAlignment="1">
      <alignment horizontal="center" textRotation="90"/>
    </xf>
    <xf numFmtId="0" fontId="20" fillId="15" borderId="10" xfId="2" applyFont="1" applyFill="1" applyBorder="1" applyAlignment="1">
      <alignment horizontal="center" textRotation="90"/>
    </xf>
    <xf numFmtId="9" fontId="25" fillId="28" borderId="21" xfId="7" applyNumberFormat="1" applyFont="1" applyFill="1" applyBorder="1" applyAlignment="1">
      <alignment horizontal="center"/>
    </xf>
    <xf numFmtId="0" fontId="20" fillId="14" borderId="0" xfId="2" applyFont="1" applyFill="1" applyAlignment="1">
      <alignment horizontal="center" textRotation="90"/>
    </xf>
    <xf numFmtId="9" fontId="25" fillId="21" borderId="21" xfId="7" applyNumberFormat="1" applyFont="1" applyFill="1" applyBorder="1" applyAlignment="1">
      <alignment horizontal="center"/>
    </xf>
    <xf numFmtId="9" fontId="25" fillId="31" borderId="21" xfId="7" applyNumberFormat="1" applyFont="1" applyFill="1" applyBorder="1" applyAlignment="1">
      <alignment horizontal="center"/>
    </xf>
    <xf numFmtId="9" fontId="25" fillId="0" borderId="21" xfId="7" applyNumberFormat="1" applyFont="1" applyFill="1" applyBorder="1" applyAlignment="1">
      <alignment horizontal="center"/>
    </xf>
    <xf numFmtId="9" fontId="25" fillId="27" borderId="21" xfId="7" applyNumberFormat="1" applyFont="1" applyFill="1" applyBorder="1" applyAlignment="1">
      <alignment horizontal="center"/>
    </xf>
    <xf numFmtId="0" fontId="20" fillId="28" borderId="0" xfId="4" applyFont="1" applyFill="1" applyAlignment="1">
      <alignment horizontal="center" textRotation="90"/>
    </xf>
    <xf numFmtId="0" fontId="20" fillId="23" borderId="0" xfId="4" applyFont="1" applyFill="1" applyAlignment="1">
      <alignment horizontal="center" textRotation="90"/>
    </xf>
    <xf numFmtId="9" fontId="25" fillId="29" borderId="21" xfId="7" applyNumberFormat="1" applyFont="1" applyFill="1" applyBorder="1" applyAlignment="1">
      <alignment horizontal="center"/>
    </xf>
    <xf numFmtId="0" fontId="20" fillId="15" borderId="9" xfId="1" applyFont="1" applyFill="1" applyBorder="1" applyAlignment="1">
      <alignment horizontal="center" textRotation="90"/>
    </xf>
    <xf numFmtId="0" fontId="20" fillId="15" borderId="0" xfId="1" applyFont="1" applyFill="1" applyAlignment="1">
      <alignment horizontal="center" textRotation="90"/>
    </xf>
    <xf numFmtId="0" fontId="20" fillId="0" borderId="0" xfId="1" applyFont="1" applyFill="1" applyAlignment="1">
      <alignment horizontal="center" textRotation="90"/>
    </xf>
    <xf numFmtId="0" fontId="20" fillId="21" borderId="0" xfId="4" applyFont="1" applyFill="1" applyAlignment="1">
      <alignment horizontal="center" textRotation="90"/>
    </xf>
    <xf numFmtId="0" fontId="18" fillId="8" borderId="0" xfId="0" applyFont="1" applyFill="1" applyBorder="1" applyAlignment="1">
      <alignment horizontal="center" textRotation="90"/>
    </xf>
    <xf numFmtId="0" fontId="20" fillId="13" borderId="0" xfId="1" applyFont="1" applyFill="1" applyAlignment="1">
      <alignment horizontal="center" textRotation="90"/>
    </xf>
    <xf numFmtId="0" fontId="20" fillId="13" borderId="0" xfId="4" applyFont="1" applyFill="1" applyAlignment="1">
      <alignment horizontal="center" textRotation="90"/>
    </xf>
    <xf numFmtId="0" fontId="20" fillId="13" borderId="0" xfId="2" applyFont="1" applyFill="1" applyAlignment="1">
      <alignment horizontal="center" textRotation="90"/>
    </xf>
  </cellXfs>
  <cellStyles count="17">
    <cellStyle name="20 % - Akzent1" xfId="14" builtinId="30"/>
    <cellStyle name="20 % - Akzent5" xfId="12" builtinId="46"/>
    <cellStyle name="Dezimal [0]" xfId="6" builtinId="6"/>
    <cellStyle name="Dezimal [0] 2" xfId="15"/>
    <cellStyle name="Eingabe" xfId="11" builtinId="20"/>
    <cellStyle name="Eingabe 2" xfId="10"/>
    <cellStyle name="Gut" xfId="1" builtinId="26"/>
    <cellStyle name="Gut 2" xfId="8"/>
    <cellStyle name="Komma" xfId="13" builtinId="3"/>
    <cellStyle name="Komma 2" xfId="16"/>
    <cellStyle name="Neutral" xfId="4" builtinId="28"/>
    <cellStyle name="Neutral 2" xfId="7"/>
    <cellStyle name="Prozent" xfId="5" builtinId="5"/>
    <cellStyle name="Schlecht" xfId="2" builtinId="27"/>
    <cellStyle name="Schlecht 2" xfId="9"/>
    <cellStyle name="Standard" xfId="0" builtinId="0"/>
    <cellStyle name="Standard 2" xfId="3"/>
  </cellStyles>
  <dxfs count="540"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Auswertung!$A$4</c:f>
              <c:strCache>
                <c:ptCount val="1"/>
                <c:pt idx="0">
                  <c:v>Punkte</c:v>
                </c:pt>
              </c:strCache>
            </c:strRef>
          </c:tx>
          <c:marker>
            <c:symbol val="none"/>
          </c:marker>
          <c:cat>
            <c:numRef>
              <c:f>Auswertung!$B$2:$AB$2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Auswertung!$B$4:$AB$4</c:f>
              <c:numCache>
                <c:formatCode>General</c:formatCode>
                <c:ptCount val="27"/>
                <c:pt idx="0">
                  <c:v>50</c:v>
                </c:pt>
                <c:pt idx="1">
                  <c:v>50</c:v>
                </c:pt>
                <c:pt idx="2">
                  <c:v>32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31</c:v>
                </c:pt>
                <c:pt idx="7">
                  <c:v>50</c:v>
                </c:pt>
                <c:pt idx="8">
                  <c:v>36</c:v>
                </c:pt>
                <c:pt idx="9">
                  <c:v>50</c:v>
                </c:pt>
                <c:pt idx="10">
                  <c:v>24</c:v>
                </c:pt>
                <c:pt idx="11">
                  <c:v>27</c:v>
                </c:pt>
                <c:pt idx="12">
                  <c:v>36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7">
                  <c:v>38</c:v>
                </c:pt>
                <c:pt idx="18">
                  <c:v>33</c:v>
                </c:pt>
                <c:pt idx="19">
                  <c:v>50</c:v>
                </c:pt>
                <c:pt idx="20">
                  <c:v>41</c:v>
                </c:pt>
                <c:pt idx="22">
                  <c:v>32</c:v>
                </c:pt>
                <c:pt idx="23">
                  <c:v>50</c:v>
                </c:pt>
                <c:pt idx="24">
                  <c:v>50</c:v>
                </c:pt>
                <c:pt idx="25">
                  <c:v>40</c:v>
                </c:pt>
                <c:pt idx="26">
                  <c:v>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Auswertung!$A$5</c:f>
              <c:strCache>
                <c:ptCount val="1"/>
                <c:pt idx="0">
                  <c:v>Würfe</c:v>
                </c:pt>
              </c:strCache>
            </c:strRef>
          </c:tx>
          <c:marker>
            <c:symbol val="none"/>
          </c:marker>
          <c:cat>
            <c:numRef>
              <c:f>Auswertung!$B$2:$AB$2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Auswertung!$B$5:$AB$5</c:f>
              <c:numCache>
                <c:formatCode>General</c:formatCode>
                <c:ptCount val="27"/>
                <c:pt idx="0">
                  <c:v>10</c:v>
                </c:pt>
                <c:pt idx="1">
                  <c:v>10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7</c:v>
                </c:pt>
                <c:pt idx="6">
                  <c:v>5</c:v>
                </c:pt>
                <c:pt idx="7">
                  <c:v>7</c:v>
                </c:pt>
                <c:pt idx="8">
                  <c:v>14</c:v>
                </c:pt>
                <c:pt idx="9">
                  <c:v>9</c:v>
                </c:pt>
                <c:pt idx="10">
                  <c:v>5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17</c:v>
                </c:pt>
                <c:pt idx="15">
                  <c:v>10</c:v>
                </c:pt>
                <c:pt idx="17">
                  <c:v>8</c:v>
                </c:pt>
                <c:pt idx="18">
                  <c:v>6</c:v>
                </c:pt>
                <c:pt idx="19">
                  <c:v>12</c:v>
                </c:pt>
                <c:pt idx="20">
                  <c:v>10</c:v>
                </c:pt>
                <c:pt idx="22">
                  <c:v>10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Auswertung!$A$6</c:f>
              <c:strCache>
                <c:ptCount val="1"/>
                <c:pt idx="0">
                  <c:v>Fehler</c:v>
                </c:pt>
              </c:strCache>
            </c:strRef>
          </c:tx>
          <c:marker>
            <c:symbol val="none"/>
          </c:marker>
          <c:cat>
            <c:numRef>
              <c:f>Auswertung!$B$2:$AB$2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Auswertung!$B$6:$AB$6</c:f>
              <c:numCache>
                <c:formatCode>General</c:formatCode>
                <c:ptCount val="27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  <c:pt idx="26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Auswertung!$A$8</c:f>
              <c:strCache>
                <c:ptCount val="1"/>
                <c:pt idx="0">
                  <c:v>Punkte/Wurf</c:v>
                </c:pt>
              </c:strCache>
            </c:strRef>
          </c:tx>
          <c:marker>
            <c:symbol val="none"/>
          </c:marker>
          <c:cat>
            <c:numRef>
              <c:f>Auswertung!$B$2:$AB$2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Auswertung!$B$8:$AB$8</c:f>
              <c:numCache>
                <c:formatCode>0.0</c:formatCode>
                <c:ptCount val="27"/>
                <c:pt idx="0">
                  <c:v>4.5833333333333339</c:v>
                </c:pt>
                <c:pt idx="1">
                  <c:v>4.9166666666666661</c:v>
                </c:pt>
                <c:pt idx="2">
                  <c:v>6</c:v>
                </c:pt>
                <c:pt idx="3">
                  <c:v>6.875</c:v>
                </c:pt>
                <c:pt idx="4">
                  <c:v>5.9166666666666661</c:v>
                </c:pt>
                <c:pt idx="5">
                  <c:v>7.625</c:v>
                </c:pt>
                <c:pt idx="6">
                  <c:v>5.25</c:v>
                </c:pt>
                <c:pt idx="7">
                  <c:v>7.625</c:v>
                </c:pt>
                <c:pt idx="8">
                  <c:v>2.0416666666666665</c:v>
                </c:pt>
                <c:pt idx="9">
                  <c:v>5.291666666666667</c:v>
                </c:pt>
                <c:pt idx="10">
                  <c:v>4.5</c:v>
                </c:pt>
                <c:pt idx="11">
                  <c:v>3.375</c:v>
                </c:pt>
                <c:pt idx="12">
                  <c:v>4.5</c:v>
                </c:pt>
                <c:pt idx="13">
                  <c:v>6.625</c:v>
                </c:pt>
                <c:pt idx="14">
                  <c:v>2.875</c:v>
                </c:pt>
                <c:pt idx="15">
                  <c:v>5.041666666666667</c:v>
                </c:pt>
                <c:pt idx="17">
                  <c:v>4.75</c:v>
                </c:pt>
                <c:pt idx="18">
                  <c:v>4.75</c:v>
                </c:pt>
                <c:pt idx="19">
                  <c:v>4.1666666666666661</c:v>
                </c:pt>
                <c:pt idx="20">
                  <c:v>4.416666666666667</c:v>
                </c:pt>
                <c:pt idx="22">
                  <c:v>2.9166666666666665</c:v>
                </c:pt>
                <c:pt idx="23">
                  <c:v>6.25</c:v>
                </c:pt>
                <c:pt idx="24">
                  <c:v>6.25</c:v>
                </c:pt>
                <c:pt idx="25">
                  <c:v>5</c:v>
                </c:pt>
                <c:pt idx="26">
                  <c:v>3.8541666666666665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Auswertung!$A$9</c:f>
              <c:strCache>
                <c:ptCount val="1"/>
                <c:pt idx="0">
                  <c:v>Punkte/Treffer</c:v>
                </c:pt>
              </c:strCache>
            </c:strRef>
          </c:tx>
          <c:marker>
            <c:symbol val="none"/>
          </c:marker>
          <c:cat>
            <c:numRef>
              <c:f>Auswertung!$B$2:$AB$2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Auswertung!$B$9:$AB$9</c:f>
              <c:numCache>
                <c:formatCode>0.0</c:formatCode>
                <c:ptCount val="27"/>
                <c:pt idx="0">
                  <c:v>6.041666666666667</c:v>
                </c:pt>
                <c:pt idx="1">
                  <c:v>4.9166666666666661</c:v>
                </c:pt>
                <c:pt idx="2">
                  <c:v>4.25</c:v>
                </c:pt>
                <c:pt idx="3">
                  <c:v>7.875</c:v>
                </c:pt>
                <c:pt idx="4">
                  <c:v>6.25</c:v>
                </c:pt>
                <c:pt idx="5">
                  <c:v>7.875</c:v>
                </c:pt>
                <c:pt idx="6">
                  <c:v>5.25</c:v>
                </c:pt>
                <c:pt idx="7">
                  <c:v>8.5</c:v>
                </c:pt>
                <c:pt idx="8">
                  <c:v>2.0625</c:v>
                </c:pt>
                <c:pt idx="9">
                  <c:v>6.166666666666667</c:v>
                </c:pt>
                <c:pt idx="10">
                  <c:v>4.5</c:v>
                </c:pt>
                <c:pt idx="11">
                  <c:v>4.375</c:v>
                </c:pt>
                <c:pt idx="12">
                  <c:v>6.25</c:v>
                </c:pt>
                <c:pt idx="13">
                  <c:v>6.625</c:v>
                </c:pt>
                <c:pt idx="14">
                  <c:v>3.25</c:v>
                </c:pt>
                <c:pt idx="15">
                  <c:v>5.416666666666667</c:v>
                </c:pt>
                <c:pt idx="17">
                  <c:v>5.5</c:v>
                </c:pt>
                <c:pt idx="18">
                  <c:v>4.75</c:v>
                </c:pt>
                <c:pt idx="19">
                  <c:v>5.083333333333333</c:v>
                </c:pt>
                <c:pt idx="20">
                  <c:v>4.75</c:v>
                </c:pt>
                <c:pt idx="22">
                  <c:v>4.75</c:v>
                </c:pt>
                <c:pt idx="23">
                  <c:v>7.75</c:v>
                </c:pt>
                <c:pt idx="24">
                  <c:v>6.25</c:v>
                </c:pt>
                <c:pt idx="25">
                  <c:v>7</c:v>
                </c:pt>
                <c:pt idx="26">
                  <c:v>4.166666666666667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1153552"/>
        <c:axId val="291153944"/>
      </c:lineChart>
      <c:catAx>
        <c:axId val="29115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1153944"/>
        <c:crosses val="autoZero"/>
        <c:auto val="1"/>
        <c:lblAlgn val="ctr"/>
        <c:lblOffset val="100"/>
        <c:noMultiLvlLbl val="0"/>
      </c:catAx>
      <c:valAx>
        <c:axId val="291153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1153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Auswertung!$A$12</c:f>
              <c:strCache>
                <c:ptCount val="1"/>
                <c:pt idx="0">
                  <c:v>Punkte</c:v>
                </c:pt>
              </c:strCache>
            </c:strRef>
          </c:tx>
          <c:marker>
            <c:symbol val="none"/>
          </c:marker>
          <c:cat>
            <c:numRef>
              <c:f>Auswertung!$B$2:$AB$2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Auswertung!$B$12:$AB$12</c:f>
            </c:numRef>
          </c:val>
          <c:smooth val="0"/>
        </c:ser>
        <c:ser>
          <c:idx val="1"/>
          <c:order val="1"/>
          <c:tx>
            <c:strRef>
              <c:f>Auswertung!$A$13</c:f>
              <c:strCache>
                <c:ptCount val="1"/>
                <c:pt idx="0">
                  <c:v>Würfe</c:v>
                </c:pt>
              </c:strCache>
            </c:strRef>
          </c:tx>
          <c:marker>
            <c:symbol val="none"/>
          </c:marker>
          <c:cat>
            <c:numRef>
              <c:f>Auswertung!$B$2:$AB$2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Auswertung!$B$13:$AB$13</c:f>
            </c:numRef>
          </c:val>
          <c:smooth val="0"/>
        </c:ser>
        <c:ser>
          <c:idx val="2"/>
          <c:order val="2"/>
          <c:tx>
            <c:strRef>
              <c:f>Auswertung!$A$14</c:f>
              <c:strCache>
                <c:ptCount val="1"/>
                <c:pt idx="0">
                  <c:v>Fehler</c:v>
                </c:pt>
              </c:strCache>
            </c:strRef>
          </c:tx>
          <c:marker>
            <c:symbol val="none"/>
          </c:marker>
          <c:cat>
            <c:numRef>
              <c:f>Auswertung!$B$2:$AB$2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Auswertung!$B$14:$AB$14</c:f>
            </c:numRef>
          </c:val>
          <c:smooth val="0"/>
        </c:ser>
        <c:ser>
          <c:idx val="3"/>
          <c:order val="3"/>
          <c:tx>
            <c:strRef>
              <c:f>Auswertung!$A$16</c:f>
              <c:strCache>
                <c:ptCount val="1"/>
                <c:pt idx="0">
                  <c:v>Punkte/Wurf</c:v>
                </c:pt>
              </c:strCache>
            </c:strRef>
          </c:tx>
          <c:marker>
            <c:symbol val="none"/>
          </c:marker>
          <c:cat>
            <c:numRef>
              <c:f>Auswertung!$B$2:$AB$2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Auswertung!$B$16:$AB$16</c:f>
            </c:numRef>
          </c:val>
          <c:smooth val="0"/>
        </c:ser>
        <c:ser>
          <c:idx val="4"/>
          <c:order val="4"/>
          <c:tx>
            <c:strRef>
              <c:f>Auswertung!$A$17</c:f>
              <c:strCache>
                <c:ptCount val="1"/>
                <c:pt idx="0">
                  <c:v>Punkte/Treffer</c:v>
                </c:pt>
              </c:strCache>
            </c:strRef>
          </c:tx>
          <c:marker>
            <c:symbol val="none"/>
          </c:marker>
          <c:cat>
            <c:numRef>
              <c:f>Auswertung!$B$2:$AB$2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Auswertung!$B$17:$AB$17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161000"/>
        <c:axId val="291158256"/>
      </c:lineChart>
      <c:catAx>
        <c:axId val="291161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1158256"/>
        <c:crosses val="autoZero"/>
        <c:auto val="1"/>
        <c:lblAlgn val="ctr"/>
        <c:lblOffset val="100"/>
        <c:noMultiLvlLbl val="0"/>
      </c:catAx>
      <c:valAx>
        <c:axId val="291158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1161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Auswertung!$A$20</c:f>
              <c:strCache>
                <c:ptCount val="1"/>
                <c:pt idx="0">
                  <c:v>Punkte</c:v>
                </c:pt>
              </c:strCache>
            </c:strRef>
          </c:tx>
          <c:marker>
            <c:symbol val="none"/>
          </c:marker>
          <c:cat>
            <c:numRef>
              <c:f>Auswertung!$B$2:$AB$2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Auswertung!$B$20:$AB$20</c:f>
            </c:numRef>
          </c:val>
          <c:smooth val="0"/>
        </c:ser>
        <c:ser>
          <c:idx val="1"/>
          <c:order val="1"/>
          <c:tx>
            <c:strRef>
              <c:f>Auswertung!$A$21</c:f>
              <c:strCache>
                <c:ptCount val="1"/>
                <c:pt idx="0">
                  <c:v>Würfe</c:v>
                </c:pt>
              </c:strCache>
            </c:strRef>
          </c:tx>
          <c:marker>
            <c:symbol val="none"/>
          </c:marker>
          <c:cat>
            <c:numRef>
              <c:f>Auswertung!$B$2:$AB$2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Auswertung!$B$21:$AB$21</c:f>
            </c:numRef>
          </c:val>
          <c:smooth val="0"/>
        </c:ser>
        <c:ser>
          <c:idx val="2"/>
          <c:order val="2"/>
          <c:tx>
            <c:strRef>
              <c:f>Auswertung!$A$22</c:f>
              <c:strCache>
                <c:ptCount val="1"/>
                <c:pt idx="0">
                  <c:v>Fehler</c:v>
                </c:pt>
              </c:strCache>
            </c:strRef>
          </c:tx>
          <c:marker>
            <c:symbol val="none"/>
          </c:marker>
          <c:cat>
            <c:numRef>
              <c:f>Auswertung!$B$2:$AB$2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Auswertung!$B$22:$AB$22</c:f>
            </c:numRef>
          </c:val>
          <c:smooth val="0"/>
        </c:ser>
        <c:ser>
          <c:idx val="3"/>
          <c:order val="3"/>
          <c:tx>
            <c:strRef>
              <c:f>Auswertung!$A$24</c:f>
              <c:strCache>
                <c:ptCount val="1"/>
                <c:pt idx="0">
                  <c:v>Punkte/Wurf</c:v>
                </c:pt>
              </c:strCache>
            </c:strRef>
          </c:tx>
          <c:marker>
            <c:symbol val="none"/>
          </c:marker>
          <c:cat>
            <c:numRef>
              <c:f>Auswertung!$B$2:$AB$2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Auswertung!$B$24:$AB$24</c:f>
            </c:numRef>
          </c:val>
          <c:smooth val="0"/>
        </c:ser>
        <c:ser>
          <c:idx val="4"/>
          <c:order val="4"/>
          <c:tx>
            <c:strRef>
              <c:f>Auswertung!$A$25</c:f>
              <c:strCache>
                <c:ptCount val="1"/>
                <c:pt idx="0">
                  <c:v>Punkte/Treffer</c:v>
                </c:pt>
              </c:strCache>
            </c:strRef>
          </c:tx>
          <c:marker>
            <c:symbol val="none"/>
          </c:marker>
          <c:cat>
            <c:numRef>
              <c:f>Auswertung!$B$2:$AB$2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Auswertung!$B$25:$AB$25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159040"/>
        <c:axId val="291159824"/>
      </c:lineChart>
      <c:catAx>
        <c:axId val="29115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1159824"/>
        <c:crosses val="autoZero"/>
        <c:auto val="1"/>
        <c:lblAlgn val="ctr"/>
        <c:lblOffset val="100"/>
        <c:noMultiLvlLbl val="0"/>
      </c:catAx>
      <c:valAx>
        <c:axId val="291159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1159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Auswertung!$A$28</c:f>
              <c:strCache>
                <c:ptCount val="1"/>
                <c:pt idx="0">
                  <c:v>Punkte</c:v>
                </c:pt>
              </c:strCache>
            </c:strRef>
          </c:tx>
          <c:marker>
            <c:symbol val="none"/>
          </c:marker>
          <c:cat>
            <c:numRef>
              <c:f>Auswertung!$B$2:$AB$2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Auswertung!$B$28:$AB$28</c:f>
            </c:numRef>
          </c:val>
          <c:smooth val="0"/>
        </c:ser>
        <c:ser>
          <c:idx val="1"/>
          <c:order val="1"/>
          <c:tx>
            <c:strRef>
              <c:f>Auswertung!$A$29</c:f>
              <c:strCache>
                <c:ptCount val="1"/>
                <c:pt idx="0">
                  <c:v>Würfe</c:v>
                </c:pt>
              </c:strCache>
            </c:strRef>
          </c:tx>
          <c:marker>
            <c:symbol val="none"/>
          </c:marker>
          <c:cat>
            <c:numRef>
              <c:f>Auswertung!$B$2:$AB$2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Auswertung!$B$29:$AB$29</c:f>
            </c:numRef>
          </c:val>
          <c:smooth val="0"/>
        </c:ser>
        <c:ser>
          <c:idx val="2"/>
          <c:order val="2"/>
          <c:tx>
            <c:strRef>
              <c:f>Auswertung!$A$30</c:f>
              <c:strCache>
                <c:ptCount val="1"/>
                <c:pt idx="0">
                  <c:v>Fehler</c:v>
                </c:pt>
              </c:strCache>
            </c:strRef>
          </c:tx>
          <c:marker>
            <c:symbol val="none"/>
          </c:marker>
          <c:cat>
            <c:numRef>
              <c:f>Auswertung!$B$2:$AB$2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Auswertung!$B$30:$AB$30</c:f>
            </c:numRef>
          </c:val>
          <c:smooth val="0"/>
        </c:ser>
        <c:ser>
          <c:idx val="3"/>
          <c:order val="3"/>
          <c:tx>
            <c:strRef>
              <c:f>Auswertung!$A$32</c:f>
              <c:strCache>
                <c:ptCount val="1"/>
                <c:pt idx="0">
                  <c:v>Punkte/Wurf</c:v>
                </c:pt>
              </c:strCache>
            </c:strRef>
          </c:tx>
          <c:marker>
            <c:symbol val="none"/>
          </c:marker>
          <c:cat>
            <c:numRef>
              <c:f>Auswertung!$B$2:$AB$2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Auswertung!$B$32:$AB$32</c:f>
            </c:numRef>
          </c:val>
          <c:smooth val="0"/>
        </c:ser>
        <c:ser>
          <c:idx val="4"/>
          <c:order val="4"/>
          <c:tx>
            <c:strRef>
              <c:f>Auswertung!$A$33</c:f>
              <c:strCache>
                <c:ptCount val="1"/>
                <c:pt idx="0">
                  <c:v>Punkte/Treffer</c:v>
                </c:pt>
              </c:strCache>
            </c:strRef>
          </c:tx>
          <c:marker>
            <c:symbol val="none"/>
          </c:marker>
          <c:cat>
            <c:numRef>
              <c:f>Auswertung!$B$2:$AB$2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Auswertung!$B$33:$AB$33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160216"/>
        <c:axId val="291156688"/>
      </c:lineChart>
      <c:catAx>
        <c:axId val="291160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1156688"/>
        <c:crosses val="autoZero"/>
        <c:auto val="1"/>
        <c:lblAlgn val="ctr"/>
        <c:lblOffset val="100"/>
        <c:noMultiLvlLbl val="0"/>
      </c:catAx>
      <c:valAx>
        <c:axId val="291156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11602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Auswertung!$A$36</c:f>
              <c:strCache>
                <c:ptCount val="1"/>
                <c:pt idx="0">
                  <c:v>Punkte</c:v>
                </c:pt>
              </c:strCache>
            </c:strRef>
          </c:tx>
          <c:marker>
            <c:symbol val="none"/>
          </c:marker>
          <c:cat>
            <c:numRef>
              <c:f>Auswertung!$B$2:$AB$2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Auswertung!$B$36:$AB$36</c:f>
            </c:numRef>
          </c:val>
          <c:smooth val="0"/>
        </c:ser>
        <c:ser>
          <c:idx val="1"/>
          <c:order val="1"/>
          <c:tx>
            <c:strRef>
              <c:f>Auswertung!$A$37</c:f>
              <c:strCache>
                <c:ptCount val="1"/>
                <c:pt idx="0">
                  <c:v>Würfe</c:v>
                </c:pt>
              </c:strCache>
            </c:strRef>
          </c:tx>
          <c:marker>
            <c:symbol val="none"/>
          </c:marker>
          <c:cat>
            <c:numRef>
              <c:f>Auswertung!$B$2:$AB$2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Auswertung!$B$37:$AB$37</c:f>
            </c:numRef>
          </c:val>
          <c:smooth val="0"/>
        </c:ser>
        <c:ser>
          <c:idx val="2"/>
          <c:order val="2"/>
          <c:tx>
            <c:strRef>
              <c:f>Auswertung!$A$38</c:f>
              <c:strCache>
                <c:ptCount val="1"/>
                <c:pt idx="0">
                  <c:v>Fehler</c:v>
                </c:pt>
              </c:strCache>
            </c:strRef>
          </c:tx>
          <c:marker>
            <c:symbol val="none"/>
          </c:marker>
          <c:cat>
            <c:numRef>
              <c:f>Auswertung!$B$2:$AB$2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Auswertung!$B$38:$AB$38</c:f>
            </c:numRef>
          </c:val>
          <c:smooth val="0"/>
        </c:ser>
        <c:ser>
          <c:idx val="3"/>
          <c:order val="3"/>
          <c:tx>
            <c:strRef>
              <c:f>Auswertung!$A$40</c:f>
              <c:strCache>
                <c:ptCount val="1"/>
                <c:pt idx="0">
                  <c:v>Punkte/Wurf</c:v>
                </c:pt>
              </c:strCache>
            </c:strRef>
          </c:tx>
          <c:marker>
            <c:symbol val="none"/>
          </c:marker>
          <c:cat>
            <c:numRef>
              <c:f>Auswertung!$B$2:$AB$2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Auswertung!$B$40:$AB$40</c:f>
            </c:numRef>
          </c:val>
          <c:smooth val="0"/>
        </c:ser>
        <c:ser>
          <c:idx val="4"/>
          <c:order val="4"/>
          <c:tx>
            <c:strRef>
              <c:f>Auswertung!$A$41</c:f>
              <c:strCache>
                <c:ptCount val="1"/>
                <c:pt idx="0">
                  <c:v>Punkte/Treffer</c:v>
                </c:pt>
              </c:strCache>
            </c:strRef>
          </c:tx>
          <c:marker>
            <c:symbol val="none"/>
          </c:marker>
          <c:cat>
            <c:numRef>
              <c:f>Auswertung!$B$2:$AB$2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Auswertung!$B$41:$AB$41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154728"/>
        <c:axId val="291155120"/>
      </c:lineChart>
      <c:catAx>
        <c:axId val="291154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1155120"/>
        <c:crosses val="autoZero"/>
        <c:auto val="1"/>
        <c:lblAlgn val="ctr"/>
        <c:lblOffset val="100"/>
        <c:noMultiLvlLbl val="0"/>
      </c:catAx>
      <c:valAx>
        <c:axId val="291155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1154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Auswertung!$A$44</c:f>
              <c:strCache>
                <c:ptCount val="1"/>
                <c:pt idx="0">
                  <c:v>Punkte</c:v>
                </c:pt>
              </c:strCache>
            </c:strRef>
          </c:tx>
          <c:marker>
            <c:symbol val="none"/>
          </c:marker>
          <c:val>
            <c:numRef>
              <c:f>Auswertung!$B$44:$AB$44</c:f>
              <c:numCache>
                <c:formatCode>General</c:formatCode>
                <c:ptCount val="27"/>
                <c:pt idx="0">
                  <c:v>34</c:v>
                </c:pt>
                <c:pt idx="1">
                  <c:v>42</c:v>
                </c:pt>
                <c:pt idx="2">
                  <c:v>50</c:v>
                </c:pt>
                <c:pt idx="3">
                  <c:v>25</c:v>
                </c:pt>
                <c:pt idx="4">
                  <c:v>23</c:v>
                </c:pt>
                <c:pt idx="5">
                  <c:v>27</c:v>
                </c:pt>
                <c:pt idx="6">
                  <c:v>50</c:v>
                </c:pt>
                <c:pt idx="7">
                  <c:v>30</c:v>
                </c:pt>
                <c:pt idx="8">
                  <c:v>50</c:v>
                </c:pt>
                <c:pt idx="9">
                  <c:v>43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34</c:v>
                </c:pt>
                <c:pt idx="14">
                  <c:v>46</c:v>
                </c:pt>
                <c:pt idx="15">
                  <c:v>38</c:v>
                </c:pt>
                <c:pt idx="17">
                  <c:v>50</c:v>
                </c:pt>
                <c:pt idx="18">
                  <c:v>50</c:v>
                </c:pt>
                <c:pt idx="19">
                  <c:v>45</c:v>
                </c:pt>
                <c:pt idx="20">
                  <c:v>50</c:v>
                </c:pt>
                <c:pt idx="22">
                  <c:v>50</c:v>
                </c:pt>
                <c:pt idx="23">
                  <c:v>38</c:v>
                </c:pt>
                <c:pt idx="24">
                  <c:v>36</c:v>
                </c:pt>
                <c:pt idx="25">
                  <c:v>50</c:v>
                </c:pt>
                <c:pt idx="26">
                  <c:v>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Auswertung!$A$45</c:f>
              <c:strCache>
                <c:ptCount val="1"/>
                <c:pt idx="0">
                  <c:v>Würfe</c:v>
                </c:pt>
              </c:strCache>
            </c:strRef>
          </c:tx>
          <c:marker>
            <c:symbol val="none"/>
          </c:marker>
          <c:val>
            <c:numRef>
              <c:f>Auswertung!$B$45:$AB$45</c:f>
              <c:numCache>
                <c:formatCode>General</c:formatCode>
                <c:ptCount val="27"/>
                <c:pt idx="0">
                  <c:v>9</c:v>
                </c:pt>
                <c:pt idx="1">
                  <c:v>10</c:v>
                </c:pt>
                <c:pt idx="2">
                  <c:v>7</c:v>
                </c:pt>
                <c:pt idx="3">
                  <c:v>6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14</c:v>
                </c:pt>
                <c:pt idx="9">
                  <c:v>9</c:v>
                </c:pt>
                <c:pt idx="10">
                  <c:v>6</c:v>
                </c:pt>
                <c:pt idx="11">
                  <c:v>8</c:v>
                </c:pt>
                <c:pt idx="12">
                  <c:v>9</c:v>
                </c:pt>
                <c:pt idx="13">
                  <c:v>6</c:v>
                </c:pt>
                <c:pt idx="14">
                  <c:v>17</c:v>
                </c:pt>
                <c:pt idx="15">
                  <c:v>9</c:v>
                </c:pt>
                <c:pt idx="17">
                  <c:v>8</c:v>
                </c:pt>
                <c:pt idx="18">
                  <c:v>7</c:v>
                </c:pt>
                <c:pt idx="19">
                  <c:v>11</c:v>
                </c:pt>
                <c:pt idx="20">
                  <c:v>11</c:v>
                </c:pt>
                <c:pt idx="22">
                  <c:v>11</c:v>
                </c:pt>
                <c:pt idx="23">
                  <c:v>7</c:v>
                </c:pt>
                <c:pt idx="24">
                  <c:v>8</c:v>
                </c:pt>
                <c:pt idx="25">
                  <c:v>8</c:v>
                </c:pt>
                <c:pt idx="26">
                  <c:v>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Auswertung!$A$46</c:f>
              <c:strCache>
                <c:ptCount val="1"/>
                <c:pt idx="0">
                  <c:v>Fehler</c:v>
                </c:pt>
              </c:strCache>
            </c:strRef>
          </c:tx>
          <c:marker>
            <c:symbol val="none"/>
          </c:marker>
          <c:val>
            <c:numRef>
              <c:f>Auswertung!$B$46:$AB$46</c:f>
              <c:numCache>
                <c:formatCode>General</c:formatCode>
                <c:ptCount val="27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Auswertung!$A$47</c:f>
              <c:strCache>
                <c:ptCount val="1"/>
                <c:pt idx="0">
                  <c:v>Fehlerquote</c:v>
                </c:pt>
              </c:strCache>
            </c:strRef>
          </c:tx>
          <c:marker>
            <c:symbol val="none"/>
          </c:marker>
          <c:val>
            <c:numRef>
              <c:f>Auswertung!$B$47:$AB$47</c:f>
              <c:numCache>
                <c:formatCode>0%</c:formatCode>
                <c:ptCount val="27"/>
                <c:pt idx="0">
                  <c:v>0.22222222222222221</c:v>
                </c:pt>
                <c:pt idx="1">
                  <c:v>0.3</c:v>
                </c:pt>
                <c:pt idx="2">
                  <c:v>0</c:v>
                </c:pt>
                <c:pt idx="3">
                  <c:v>0.33333333333333331</c:v>
                </c:pt>
                <c:pt idx="4">
                  <c:v>0.25</c:v>
                </c:pt>
                <c:pt idx="5">
                  <c:v>0.42857142857142855</c:v>
                </c:pt>
                <c:pt idx="6">
                  <c:v>0</c:v>
                </c:pt>
                <c:pt idx="7">
                  <c:v>0.16666666666666666</c:v>
                </c:pt>
                <c:pt idx="8">
                  <c:v>0.14285714285714285</c:v>
                </c:pt>
                <c:pt idx="9">
                  <c:v>0.22222222222222221</c:v>
                </c:pt>
                <c:pt idx="10">
                  <c:v>0</c:v>
                </c:pt>
                <c:pt idx="11">
                  <c:v>0</c:v>
                </c:pt>
                <c:pt idx="12">
                  <c:v>0.22222222222222221</c:v>
                </c:pt>
                <c:pt idx="13">
                  <c:v>0.33333333333333331</c:v>
                </c:pt>
                <c:pt idx="14">
                  <c:v>0.17647058823529413</c:v>
                </c:pt>
                <c:pt idx="15">
                  <c:v>0.1111111111111111</c:v>
                </c:pt>
                <c:pt idx="17">
                  <c:v>0.125</c:v>
                </c:pt>
                <c:pt idx="18">
                  <c:v>0.14285714285714285</c:v>
                </c:pt>
                <c:pt idx="19">
                  <c:v>0.18181818181818182</c:v>
                </c:pt>
                <c:pt idx="20">
                  <c:v>0.27272727272727271</c:v>
                </c:pt>
                <c:pt idx="22">
                  <c:v>0.27272727272727271</c:v>
                </c:pt>
                <c:pt idx="23">
                  <c:v>0.42857142857142855</c:v>
                </c:pt>
                <c:pt idx="24">
                  <c:v>0.125</c:v>
                </c:pt>
                <c:pt idx="25">
                  <c:v>0.125</c:v>
                </c:pt>
                <c:pt idx="26">
                  <c:v>0.23076923076923078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Auswertung!$A$48</c:f>
              <c:strCache>
                <c:ptCount val="1"/>
                <c:pt idx="0">
                  <c:v>Punkte/Wurf</c:v>
                </c:pt>
              </c:strCache>
            </c:strRef>
          </c:tx>
          <c:marker>
            <c:symbol val="none"/>
          </c:marker>
          <c:val>
            <c:numRef>
              <c:f>Auswertung!$B$48:$AB$48</c:f>
              <c:numCache>
                <c:formatCode>0.0</c:formatCode>
                <c:ptCount val="27"/>
                <c:pt idx="0">
                  <c:v>3.7777777777777777</c:v>
                </c:pt>
                <c:pt idx="1">
                  <c:v>4.2</c:v>
                </c:pt>
                <c:pt idx="2">
                  <c:v>7.1428571428571432</c:v>
                </c:pt>
                <c:pt idx="3">
                  <c:v>4.166666666666667</c:v>
                </c:pt>
                <c:pt idx="4">
                  <c:v>2.875</c:v>
                </c:pt>
                <c:pt idx="5">
                  <c:v>3.8571428571428572</c:v>
                </c:pt>
                <c:pt idx="6">
                  <c:v>8.3333333333333339</c:v>
                </c:pt>
                <c:pt idx="7">
                  <c:v>5</c:v>
                </c:pt>
                <c:pt idx="8">
                  <c:v>3.5714285714285716</c:v>
                </c:pt>
                <c:pt idx="9">
                  <c:v>4.7777777777777777</c:v>
                </c:pt>
                <c:pt idx="10">
                  <c:v>8.3333333333333339</c:v>
                </c:pt>
                <c:pt idx="11">
                  <c:v>6.25</c:v>
                </c:pt>
                <c:pt idx="12">
                  <c:v>5.5555555555555554</c:v>
                </c:pt>
                <c:pt idx="13">
                  <c:v>5.666666666666667</c:v>
                </c:pt>
                <c:pt idx="14">
                  <c:v>2.7058823529411766</c:v>
                </c:pt>
                <c:pt idx="15">
                  <c:v>4.2222222222222223</c:v>
                </c:pt>
                <c:pt idx="17">
                  <c:v>6.25</c:v>
                </c:pt>
                <c:pt idx="18">
                  <c:v>7.1428571428571432</c:v>
                </c:pt>
                <c:pt idx="19">
                  <c:v>4.0909090909090908</c:v>
                </c:pt>
                <c:pt idx="20">
                  <c:v>4.5454545454545459</c:v>
                </c:pt>
                <c:pt idx="22">
                  <c:v>4.5454545454545459</c:v>
                </c:pt>
                <c:pt idx="23">
                  <c:v>5.4285714285714288</c:v>
                </c:pt>
                <c:pt idx="24">
                  <c:v>4.5</c:v>
                </c:pt>
                <c:pt idx="25">
                  <c:v>6.25</c:v>
                </c:pt>
                <c:pt idx="26">
                  <c:v>2.5384615384615383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Auswertung!$A$49</c:f>
              <c:strCache>
                <c:ptCount val="1"/>
                <c:pt idx="0">
                  <c:v>Punkte/Treffer</c:v>
                </c:pt>
              </c:strCache>
            </c:strRef>
          </c:tx>
          <c:marker>
            <c:symbol val="none"/>
          </c:marker>
          <c:val>
            <c:numRef>
              <c:f>Auswertung!$B$49:$AB$49</c:f>
              <c:numCache>
                <c:formatCode>0.0</c:formatCode>
                <c:ptCount val="27"/>
                <c:pt idx="0">
                  <c:v>4.8571428571428568</c:v>
                </c:pt>
                <c:pt idx="1">
                  <c:v>6</c:v>
                </c:pt>
                <c:pt idx="2">
                  <c:v>7.1428571428571432</c:v>
                </c:pt>
                <c:pt idx="3">
                  <c:v>6.25</c:v>
                </c:pt>
                <c:pt idx="4">
                  <c:v>3.8333333333333335</c:v>
                </c:pt>
                <c:pt idx="5">
                  <c:v>6.75</c:v>
                </c:pt>
                <c:pt idx="6">
                  <c:v>8.3333333333333339</c:v>
                </c:pt>
                <c:pt idx="7">
                  <c:v>6</c:v>
                </c:pt>
                <c:pt idx="8">
                  <c:v>4.166666666666667</c:v>
                </c:pt>
                <c:pt idx="9">
                  <c:v>6.1428571428571432</c:v>
                </c:pt>
                <c:pt idx="10">
                  <c:v>8.3333333333333339</c:v>
                </c:pt>
                <c:pt idx="11">
                  <c:v>6.25</c:v>
                </c:pt>
                <c:pt idx="12">
                  <c:v>7.1428571428571432</c:v>
                </c:pt>
                <c:pt idx="13">
                  <c:v>8.5</c:v>
                </c:pt>
                <c:pt idx="14">
                  <c:v>3.2857142857142856</c:v>
                </c:pt>
                <c:pt idx="15">
                  <c:v>4.75</c:v>
                </c:pt>
                <c:pt idx="17">
                  <c:v>7.1428571428571432</c:v>
                </c:pt>
                <c:pt idx="18">
                  <c:v>8.3333333333333339</c:v>
                </c:pt>
                <c:pt idx="19">
                  <c:v>5</c:v>
                </c:pt>
                <c:pt idx="20">
                  <c:v>6.25</c:v>
                </c:pt>
                <c:pt idx="22">
                  <c:v>6.25</c:v>
                </c:pt>
                <c:pt idx="23">
                  <c:v>9.5</c:v>
                </c:pt>
                <c:pt idx="24">
                  <c:v>5.1428571428571432</c:v>
                </c:pt>
                <c:pt idx="25">
                  <c:v>7.1428571428571432</c:v>
                </c:pt>
                <c:pt idx="26">
                  <c:v>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951360"/>
        <c:axId val="334951752"/>
      </c:lineChart>
      <c:catAx>
        <c:axId val="33495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4951752"/>
        <c:crosses val="autoZero"/>
        <c:auto val="1"/>
        <c:lblAlgn val="ctr"/>
        <c:lblOffset val="100"/>
        <c:noMultiLvlLbl val="0"/>
      </c:catAx>
      <c:valAx>
        <c:axId val="334951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4951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152396</xdr:colOff>
      <xdr:row>12</xdr:row>
      <xdr:rowOff>88900</xdr:rowOff>
    </xdr:from>
    <xdr:ext cx="585353" cy="937629"/>
    <xdr:sp macro="" textlink="">
      <xdr:nvSpPr>
        <xdr:cNvPr id="2" name="Rechteck 1"/>
        <xdr:cNvSpPr/>
      </xdr:nvSpPr>
      <xdr:spPr>
        <a:xfrm>
          <a:off x="2787646" y="2660650"/>
          <a:ext cx="58535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215187</xdr:colOff>
      <xdr:row>9</xdr:row>
      <xdr:rowOff>88900</xdr:rowOff>
    </xdr:from>
    <xdr:ext cx="561371" cy="937629"/>
    <xdr:sp macro="" textlink="">
      <xdr:nvSpPr>
        <xdr:cNvPr id="2" name="Rechteck 1"/>
        <xdr:cNvSpPr/>
      </xdr:nvSpPr>
      <xdr:spPr>
        <a:xfrm>
          <a:off x="2844087" y="2146300"/>
          <a:ext cx="56137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76199</xdr:colOff>
      <xdr:row>1</xdr:row>
      <xdr:rowOff>0</xdr:rowOff>
    </xdr:from>
    <xdr:to>
      <xdr:col>34</xdr:col>
      <xdr:colOff>257175</xdr:colOff>
      <xdr:row>9</xdr:row>
      <xdr:rowOff>1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85724</xdr:colOff>
      <xdr:row>10</xdr:row>
      <xdr:rowOff>0</xdr:rowOff>
    </xdr:from>
    <xdr:to>
      <xdr:col>34</xdr:col>
      <xdr:colOff>266700</xdr:colOff>
      <xdr:row>17</xdr:row>
      <xdr:rowOff>9525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85724</xdr:colOff>
      <xdr:row>18</xdr:row>
      <xdr:rowOff>1</xdr:rowOff>
    </xdr:from>
    <xdr:to>
      <xdr:col>34</xdr:col>
      <xdr:colOff>266700</xdr:colOff>
      <xdr:row>25</xdr:row>
      <xdr:rowOff>1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85724</xdr:colOff>
      <xdr:row>26</xdr:row>
      <xdr:rowOff>0</xdr:rowOff>
    </xdr:from>
    <xdr:to>
      <xdr:col>34</xdr:col>
      <xdr:colOff>266700</xdr:colOff>
      <xdr:row>33</xdr:row>
      <xdr:rowOff>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85724</xdr:colOff>
      <xdr:row>34</xdr:row>
      <xdr:rowOff>0</xdr:rowOff>
    </xdr:from>
    <xdr:to>
      <xdr:col>34</xdr:col>
      <xdr:colOff>266700</xdr:colOff>
      <xdr:row>41</xdr:row>
      <xdr:rowOff>0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85724</xdr:colOff>
      <xdr:row>42</xdr:row>
      <xdr:rowOff>0</xdr:rowOff>
    </xdr:from>
    <xdr:to>
      <xdr:col>34</xdr:col>
      <xdr:colOff>266700</xdr:colOff>
      <xdr:row>49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54"/>
  <sheetViews>
    <sheetView zoomScale="70" zoomScaleNormal="70" zoomScaleSheetLayoutView="5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4.25"/>
  <cols>
    <col min="1" max="1" width="5.42578125" style="32" bestFit="1" customWidth="1"/>
    <col min="2" max="2" width="16.7109375" style="32" bestFit="1" customWidth="1"/>
    <col min="3" max="3" width="6.28515625" style="32" customWidth="1"/>
    <col min="4" max="4" width="5.7109375" style="32" customWidth="1"/>
    <col min="5" max="5" width="6.28515625" style="32" bestFit="1" customWidth="1"/>
    <col min="6" max="6" width="5.7109375" style="32" customWidth="1"/>
    <col min="7" max="7" width="8.140625" style="32" bestFit="1" customWidth="1"/>
    <col min="8" max="8" width="5.28515625" style="32" bestFit="1" customWidth="1"/>
    <col min="9" max="9" width="8.140625" style="32" bestFit="1" customWidth="1"/>
    <col min="10" max="12" width="5.7109375" style="32" customWidth="1"/>
    <col min="13" max="13" width="7.140625" style="32" customWidth="1"/>
    <col min="14" max="14" width="4.7109375" style="32" customWidth="1"/>
    <col min="15" max="15" width="16.7109375" style="32" bestFit="1" customWidth="1"/>
    <col min="16" max="18" width="5.7109375" style="32" customWidth="1"/>
    <col min="19" max="19" width="6.140625" style="32" customWidth="1"/>
    <col min="20" max="20" width="8.140625" style="32" bestFit="1" customWidth="1"/>
    <col min="21" max="21" width="5.28515625" style="32" bestFit="1" customWidth="1"/>
    <col min="22" max="22" width="8.140625" style="32" bestFit="1" customWidth="1"/>
    <col min="23" max="23" width="5.7109375" style="32" customWidth="1"/>
    <col min="24" max="26" width="6.28515625" style="32" customWidth="1"/>
    <col min="27" max="27" width="4.7109375" style="32" customWidth="1"/>
    <col min="28" max="28" width="16.7109375" style="32" bestFit="1" customWidth="1"/>
    <col min="29" max="31" width="5.7109375" style="32" customWidth="1"/>
    <col min="32" max="32" width="6.42578125" style="32" customWidth="1"/>
    <col min="33" max="33" width="8.140625" style="32" bestFit="1" customWidth="1"/>
    <col min="34" max="34" width="5.28515625" style="32" bestFit="1" customWidth="1"/>
    <col min="35" max="35" width="8.140625" style="32" bestFit="1" customWidth="1"/>
    <col min="36" max="37" width="5.7109375" style="32" customWidth="1"/>
    <col min="38" max="39" width="6.28515625" style="32" bestFit="1" customWidth="1"/>
    <col min="40" max="40" width="4.7109375" style="32" customWidth="1"/>
    <col min="41" max="41" width="16.7109375" style="32" bestFit="1" customWidth="1"/>
    <col min="42" max="42" width="5.7109375" style="32" customWidth="1"/>
    <col min="43" max="43" width="6.28515625" style="32" bestFit="1" customWidth="1"/>
    <col min="44" max="44" width="6.28515625" style="32" customWidth="1"/>
    <col min="45" max="45" width="5.7109375" style="32" customWidth="1"/>
    <col min="46" max="46" width="8.140625" style="32" bestFit="1" customWidth="1"/>
    <col min="47" max="47" width="4.7109375" style="32" customWidth="1"/>
    <col min="48" max="48" width="8.140625" style="32" bestFit="1" customWidth="1"/>
    <col min="49" max="52" width="5.7109375" style="32" customWidth="1"/>
    <col min="53" max="53" width="4.7109375" style="32" customWidth="1"/>
    <col min="54" max="54" width="16.7109375" style="517" bestFit="1" customWidth="1"/>
    <col min="55" max="56" width="5.7109375" style="517" customWidth="1"/>
    <col min="57" max="57" width="6.28515625" style="517" customWidth="1"/>
    <col min="58" max="58" width="6.42578125" style="517" bestFit="1" customWidth="1"/>
    <col min="59" max="59" width="8.140625" style="517" bestFit="1" customWidth="1"/>
    <col min="60" max="60" width="5.28515625" style="517" bestFit="1" customWidth="1"/>
    <col min="61" max="61" width="8.140625" style="517" bestFit="1" customWidth="1"/>
    <col min="62" max="65" width="5.7109375" style="517" customWidth="1"/>
    <col min="66" max="66" width="4.7109375" style="517" customWidth="1"/>
    <col min="67" max="67" width="16.7109375" style="517" bestFit="1" customWidth="1"/>
    <col min="68" max="68" width="5.7109375" style="517" customWidth="1"/>
    <col min="69" max="69" width="6.42578125" style="517" bestFit="1" customWidth="1"/>
    <col min="70" max="70" width="6.28515625" style="517" customWidth="1"/>
    <col min="71" max="71" width="6.42578125" style="517" bestFit="1" customWidth="1"/>
    <col min="72" max="72" width="8.140625" style="517" bestFit="1" customWidth="1"/>
    <col min="73" max="73" width="5.28515625" style="517" bestFit="1" customWidth="1"/>
    <col min="74" max="74" width="8.140625" style="517" bestFit="1" customWidth="1"/>
    <col min="75" max="76" width="5.7109375" style="517" customWidth="1"/>
    <col min="77" max="78" width="6.42578125" style="517" bestFit="1" customWidth="1"/>
    <col min="79" max="79" width="4.7109375" style="517" customWidth="1"/>
    <col min="80" max="80" width="16.7109375" style="517" bestFit="1" customWidth="1"/>
    <col min="81" max="82" width="5.7109375" style="517" customWidth="1"/>
    <col min="83" max="83" width="6.28515625" style="517" customWidth="1"/>
    <col min="84" max="84" width="5.7109375" style="517" customWidth="1"/>
    <col min="85" max="85" width="8.140625" style="517" bestFit="1" customWidth="1"/>
    <col min="86" max="86" width="4.7109375" style="517" customWidth="1"/>
    <col min="87" max="87" width="8.140625" style="517" bestFit="1" customWidth="1"/>
    <col min="88" max="88" width="5.7109375" style="517" customWidth="1"/>
    <col min="89" max="89" width="6.42578125" style="517" bestFit="1" customWidth="1"/>
    <col min="90" max="90" width="5.7109375" style="517" customWidth="1"/>
    <col min="91" max="91" width="6.42578125" style="517" bestFit="1" customWidth="1"/>
    <col min="92" max="92" width="4.7109375" style="517" customWidth="1"/>
    <col min="93" max="16384" width="11.42578125" style="32"/>
  </cols>
  <sheetData>
    <row r="1" spans="1:92" ht="15">
      <c r="A1" s="247"/>
      <c r="B1" s="1538" t="s">
        <v>117</v>
      </c>
      <c r="C1" s="1538"/>
      <c r="D1" s="1538"/>
      <c r="E1" s="1538"/>
      <c r="F1" s="1538"/>
      <c r="G1" s="1538"/>
      <c r="H1" s="1538"/>
      <c r="I1" s="1538"/>
      <c r="J1" s="1538"/>
      <c r="K1" s="1538"/>
      <c r="L1" s="1538"/>
      <c r="M1" s="1538"/>
      <c r="N1" s="248"/>
      <c r="O1" s="1538" t="s">
        <v>103</v>
      </c>
      <c r="P1" s="1538"/>
      <c r="Q1" s="1538"/>
      <c r="R1" s="1538"/>
      <c r="S1" s="1538"/>
      <c r="T1" s="1538"/>
      <c r="U1" s="1538"/>
      <c r="V1" s="1538"/>
      <c r="W1" s="1538"/>
      <c r="X1" s="1538"/>
      <c r="Y1" s="1538"/>
      <c r="Z1" s="1538"/>
      <c r="AA1" s="248"/>
      <c r="AB1" s="1538" t="s">
        <v>97</v>
      </c>
      <c r="AC1" s="1538"/>
      <c r="AD1" s="1538"/>
      <c r="AE1" s="1538"/>
      <c r="AF1" s="1538"/>
      <c r="AG1" s="1538"/>
      <c r="AH1" s="1538"/>
      <c r="AI1" s="1538"/>
      <c r="AJ1" s="1538"/>
      <c r="AK1" s="1538"/>
      <c r="AL1" s="1538"/>
      <c r="AM1" s="1538"/>
      <c r="AN1" s="248"/>
      <c r="AO1" s="1538" t="s">
        <v>130</v>
      </c>
      <c r="AP1" s="1538"/>
      <c r="AQ1" s="1538"/>
      <c r="AR1" s="1538"/>
      <c r="AS1" s="1538"/>
      <c r="AT1" s="1538"/>
      <c r="AU1" s="1538"/>
      <c r="AV1" s="1538"/>
      <c r="AW1" s="1538"/>
      <c r="AX1" s="1538"/>
      <c r="AY1" s="1538"/>
      <c r="AZ1" s="1538"/>
      <c r="BA1" s="249"/>
      <c r="BB1" s="1538" t="s">
        <v>143</v>
      </c>
      <c r="BC1" s="1538"/>
      <c r="BD1" s="1538"/>
      <c r="BE1" s="1538"/>
      <c r="BF1" s="1538"/>
      <c r="BG1" s="1538"/>
      <c r="BH1" s="1538"/>
      <c r="BI1" s="1538"/>
      <c r="BJ1" s="1538"/>
      <c r="BK1" s="1538"/>
      <c r="BL1" s="1538"/>
      <c r="BM1" s="1538"/>
      <c r="BN1" s="605"/>
      <c r="BO1" s="1538" t="s">
        <v>105</v>
      </c>
      <c r="BP1" s="1538"/>
      <c r="BQ1" s="1538"/>
      <c r="BR1" s="1538"/>
      <c r="BS1" s="1538"/>
      <c r="BT1" s="1538"/>
      <c r="BU1" s="1538"/>
      <c r="BV1" s="1538"/>
      <c r="BW1" s="1538"/>
      <c r="BX1" s="1538"/>
      <c r="BY1" s="1538"/>
      <c r="BZ1" s="1538"/>
      <c r="CA1" s="605"/>
      <c r="CB1" s="1538" t="s">
        <v>112</v>
      </c>
      <c r="CC1" s="1538"/>
      <c r="CD1" s="1538"/>
      <c r="CE1" s="1538"/>
      <c r="CF1" s="1538"/>
      <c r="CG1" s="1538"/>
      <c r="CH1" s="1538"/>
      <c r="CI1" s="1538"/>
      <c r="CJ1" s="1538"/>
      <c r="CK1" s="1538"/>
      <c r="CL1" s="1538"/>
      <c r="CM1" s="1538"/>
      <c r="CN1" s="605"/>
    </row>
    <row r="2" spans="1:92">
      <c r="A2" s="1537" t="s">
        <v>117</v>
      </c>
      <c r="B2" s="33"/>
      <c r="C2" s="34"/>
      <c r="D2" s="34"/>
      <c r="E2" s="34"/>
      <c r="F2" s="34"/>
      <c r="G2" s="250"/>
      <c r="H2" s="248"/>
      <c r="I2" s="248"/>
      <c r="J2" s="248"/>
      <c r="K2" s="248"/>
      <c r="L2" s="248"/>
      <c r="M2" s="248"/>
      <c r="N2" s="248"/>
      <c r="O2" s="251"/>
      <c r="P2" s="1536" t="s">
        <v>117</v>
      </c>
      <c r="Q2" s="1536"/>
      <c r="R2" s="1536"/>
      <c r="S2" s="1536"/>
      <c r="T2" s="251"/>
      <c r="U2" s="251"/>
      <c r="V2" s="251"/>
      <c r="W2" s="1535" t="s">
        <v>103</v>
      </c>
      <c r="X2" s="1535"/>
      <c r="Y2" s="1535"/>
      <c r="Z2" s="1535"/>
      <c r="AA2" s="248"/>
      <c r="AB2" s="251"/>
      <c r="AC2" s="1536" t="s">
        <v>117</v>
      </c>
      <c r="AD2" s="1536"/>
      <c r="AE2" s="1536"/>
      <c r="AF2" s="1536"/>
      <c r="AG2" s="251"/>
      <c r="AH2" s="251"/>
      <c r="AI2" s="251"/>
      <c r="AJ2" s="1535" t="s">
        <v>97</v>
      </c>
      <c r="AK2" s="1535"/>
      <c r="AL2" s="1535"/>
      <c r="AM2" s="1535"/>
      <c r="AN2" s="248"/>
      <c r="AO2" s="251"/>
      <c r="AP2" s="1536" t="s">
        <v>117</v>
      </c>
      <c r="AQ2" s="1536"/>
      <c r="AR2" s="1536"/>
      <c r="AS2" s="1536"/>
      <c r="AT2" s="251"/>
      <c r="AU2" s="251"/>
      <c r="AV2" s="251"/>
      <c r="AW2" s="1535" t="s">
        <v>130</v>
      </c>
      <c r="AX2" s="1535"/>
      <c r="AY2" s="1535"/>
      <c r="AZ2" s="1535"/>
      <c r="BA2" s="249"/>
      <c r="BB2" s="607"/>
      <c r="BC2" s="1536" t="s">
        <v>117</v>
      </c>
      <c r="BD2" s="1536"/>
      <c r="BE2" s="1536"/>
      <c r="BF2" s="1536"/>
      <c r="BG2" s="607"/>
      <c r="BH2" s="607"/>
      <c r="BI2" s="607"/>
      <c r="BJ2" s="1535" t="s">
        <v>143</v>
      </c>
      <c r="BK2" s="1535"/>
      <c r="BL2" s="1535"/>
      <c r="BM2" s="1535"/>
      <c r="BN2" s="605"/>
      <c r="BO2" s="607"/>
      <c r="BP2" s="1536" t="s">
        <v>117</v>
      </c>
      <c r="BQ2" s="1536"/>
      <c r="BR2" s="1536"/>
      <c r="BS2" s="1536"/>
      <c r="BT2" s="607"/>
      <c r="BU2" s="607"/>
      <c r="BV2" s="607"/>
      <c r="BW2" s="1535" t="s">
        <v>105</v>
      </c>
      <c r="BX2" s="1535"/>
      <c r="BY2" s="1535"/>
      <c r="BZ2" s="1535"/>
      <c r="CA2" s="605"/>
      <c r="CB2" s="607"/>
      <c r="CC2" s="1536" t="s">
        <v>117</v>
      </c>
      <c r="CD2" s="1536"/>
      <c r="CE2" s="1536"/>
      <c r="CF2" s="1536"/>
      <c r="CG2" s="607"/>
      <c r="CH2" s="607"/>
      <c r="CI2" s="607"/>
      <c r="CJ2" s="1535" t="s">
        <v>112</v>
      </c>
      <c r="CK2" s="1535"/>
      <c r="CL2" s="1535"/>
      <c r="CM2" s="1535"/>
      <c r="CN2" s="605"/>
    </row>
    <row r="3" spans="1:92" ht="15">
      <c r="A3" s="1537"/>
      <c r="B3" s="33"/>
      <c r="C3" s="36"/>
      <c r="D3" s="37"/>
      <c r="E3" s="37"/>
      <c r="F3" s="37"/>
      <c r="G3" s="38"/>
      <c r="H3" s="248"/>
      <c r="I3" s="38"/>
      <c r="J3" s="39"/>
      <c r="K3" s="39"/>
      <c r="L3" s="39"/>
      <c r="M3" s="39"/>
      <c r="N3" s="248"/>
      <c r="O3" s="40"/>
      <c r="P3" s="560">
        <v>1</v>
      </c>
      <c r="Q3" s="561">
        <v>2</v>
      </c>
      <c r="R3" s="562">
        <v>3</v>
      </c>
      <c r="S3" s="566">
        <v>4</v>
      </c>
      <c r="T3" s="41">
        <f>IF(COUNTIF(T5:T13,"&gt;37")=0,0,COUNTIF(T5:T13,"&gt;37")-1)</f>
        <v>1</v>
      </c>
      <c r="U3" s="251"/>
      <c r="V3" s="486">
        <v>1</v>
      </c>
      <c r="W3" s="568">
        <v>1</v>
      </c>
      <c r="X3" s="569">
        <v>2</v>
      </c>
      <c r="Y3" s="570">
        <v>3</v>
      </c>
      <c r="Z3" s="603">
        <v>4</v>
      </c>
      <c r="AA3" s="248"/>
      <c r="AB3" s="40"/>
      <c r="AC3" s="86">
        <v>1</v>
      </c>
      <c r="AD3" s="87">
        <v>2</v>
      </c>
      <c r="AE3" s="88">
        <v>3</v>
      </c>
      <c r="AF3" s="246">
        <v>4</v>
      </c>
      <c r="AG3" s="41">
        <f>IF(COUNTIF(AG5:AG13,"&gt;37")=0,0,COUNTIF(AG5:AG13,"&gt;37")-1)</f>
        <v>1</v>
      </c>
      <c r="AH3" s="251"/>
      <c r="AI3" s="41">
        <f>IF(COUNTIF(AI5:AI13,"&gt;37")=0,0,COUNTIF(AI5:AI13,"&gt;37")-1)</f>
        <v>0</v>
      </c>
      <c r="AJ3" s="92">
        <v>1</v>
      </c>
      <c r="AK3" s="93">
        <v>2</v>
      </c>
      <c r="AL3" s="94">
        <v>3</v>
      </c>
      <c r="AM3" s="245">
        <v>4</v>
      </c>
      <c r="AN3" s="248"/>
      <c r="AO3" s="40"/>
      <c r="AP3" s="86">
        <v>1</v>
      </c>
      <c r="AQ3" s="87">
        <v>2</v>
      </c>
      <c r="AR3" s="88">
        <v>3</v>
      </c>
      <c r="AS3" s="246">
        <v>4</v>
      </c>
      <c r="AT3" s="41">
        <f>IF(COUNTIF(AT5:AT13,"&gt;37")=0,0,COUNTIF(AT5:AT13,"&gt;37")-1)</f>
        <v>1</v>
      </c>
      <c r="AU3" s="251"/>
      <c r="AV3" s="41">
        <f>IF(COUNTIF(AV5:AV13,"&gt;37")=0,0,COUNTIF(AV5:AV13,"&gt;37")-1)</f>
        <v>0</v>
      </c>
      <c r="AW3" s="92">
        <v>1</v>
      </c>
      <c r="AX3" s="93">
        <v>2</v>
      </c>
      <c r="AY3" s="94">
        <v>3</v>
      </c>
      <c r="AZ3" s="245">
        <v>4</v>
      </c>
      <c r="BA3" s="249"/>
      <c r="BB3" s="522"/>
      <c r="BC3" s="560">
        <v>1</v>
      </c>
      <c r="BD3" s="561">
        <v>2</v>
      </c>
      <c r="BE3" s="562">
        <v>3</v>
      </c>
      <c r="BF3" s="566">
        <v>4</v>
      </c>
      <c r="BG3" s="523">
        <f>IF(COUNTIF(BG5:BG13,"&gt;37")=0,0,COUNTIF(BG5:BG13,"&gt;37")-1)</f>
        <v>2</v>
      </c>
      <c r="BH3" s="607"/>
      <c r="BI3" s="486">
        <v>0</v>
      </c>
      <c r="BJ3" s="568">
        <v>1</v>
      </c>
      <c r="BK3" s="569">
        <v>2</v>
      </c>
      <c r="BL3" s="570">
        <v>3</v>
      </c>
      <c r="BM3" s="603">
        <v>4</v>
      </c>
      <c r="BN3" s="605"/>
      <c r="BO3" s="522"/>
      <c r="BP3" s="560">
        <v>1</v>
      </c>
      <c r="BQ3" s="561">
        <v>2</v>
      </c>
      <c r="BR3" s="562">
        <v>3</v>
      </c>
      <c r="BS3" s="566">
        <v>4</v>
      </c>
      <c r="BT3" s="523">
        <f>IF(COUNTIF(BT5:BT13,"&gt;37")=0,0,COUNTIF(BT5:BT13,"&gt;37")-1)</f>
        <v>1</v>
      </c>
      <c r="BU3" s="607"/>
      <c r="BV3" s="523">
        <f>IF(COUNTIF(BV5:BV13,"&gt;37")=0,0,COUNTIF(BV5:BV13,"&gt;37")-1)</f>
        <v>0</v>
      </c>
      <c r="BW3" s="568">
        <v>1</v>
      </c>
      <c r="BX3" s="569">
        <v>2</v>
      </c>
      <c r="BY3" s="570">
        <v>3</v>
      </c>
      <c r="BZ3" s="603">
        <v>4</v>
      </c>
      <c r="CA3" s="605"/>
      <c r="CB3" s="522"/>
      <c r="CC3" s="560">
        <v>1</v>
      </c>
      <c r="CD3" s="561">
        <v>2</v>
      </c>
      <c r="CE3" s="562">
        <v>3</v>
      </c>
      <c r="CF3" s="566">
        <v>4</v>
      </c>
      <c r="CG3" s="523">
        <f>IF(COUNTIF(CG5:CG13,"&gt;37")=0,0,COUNTIF(CG5:CG13,"&gt;37")-1)</f>
        <v>1</v>
      </c>
      <c r="CH3" s="607"/>
      <c r="CI3" s="523">
        <f>IF(COUNTIF(CI5:CI13,"&gt;37")=0,0,COUNTIF(CI5:CI13,"&gt;37")-1)</f>
        <v>0</v>
      </c>
      <c r="CJ3" s="568">
        <v>1</v>
      </c>
      <c r="CK3" s="569">
        <v>2</v>
      </c>
      <c r="CL3" s="570">
        <v>3</v>
      </c>
      <c r="CM3" s="603">
        <v>4</v>
      </c>
      <c r="CN3" s="605"/>
    </row>
    <row r="4" spans="1:92" ht="60.75">
      <c r="A4" s="1537"/>
      <c r="B4" s="42"/>
      <c r="C4" s="43"/>
      <c r="D4" s="43"/>
      <c r="E4" s="43"/>
      <c r="F4" s="43"/>
      <c r="G4" s="44"/>
      <c r="H4" s="252"/>
      <c r="I4" s="252"/>
      <c r="J4" s="253"/>
      <c r="K4" s="45"/>
      <c r="L4" s="45"/>
      <c r="M4" s="46"/>
      <c r="N4" s="252"/>
      <c r="O4" s="47"/>
      <c r="P4" s="475" t="s">
        <v>121</v>
      </c>
      <c r="Q4" s="475" t="s">
        <v>118</v>
      </c>
      <c r="R4" s="475" t="s">
        <v>119</v>
      </c>
      <c r="S4" s="475" t="s">
        <v>120</v>
      </c>
      <c r="T4" s="254"/>
      <c r="U4" s="254"/>
      <c r="V4" s="254"/>
      <c r="W4" s="592" t="s">
        <v>1</v>
      </c>
      <c r="X4" s="592" t="s">
        <v>104</v>
      </c>
      <c r="Y4" s="592" t="s">
        <v>53</v>
      </c>
      <c r="Z4" s="592" t="s">
        <v>96</v>
      </c>
      <c r="AA4" s="252"/>
      <c r="AB4" s="47"/>
      <c r="AC4" s="475" t="s">
        <v>118</v>
      </c>
      <c r="AD4" s="475" t="s">
        <v>119</v>
      </c>
      <c r="AE4" s="475" t="s">
        <v>120</v>
      </c>
      <c r="AF4" s="475" t="s">
        <v>121</v>
      </c>
      <c r="AG4" s="49"/>
      <c r="AH4" s="254"/>
      <c r="AI4" s="255"/>
      <c r="AJ4" s="592" t="s">
        <v>53</v>
      </c>
      <c r="AK4" s="592" t="s">
        <v>0</v>
      </c>
      <c r="AL4" s="592" t="s">
        <v>56</v>
      </c>
      <c r="AM4" s="592" t="s">
        <v>1</v>
      </c>
      <c r="AN4" s="252"/>
      <c r="AO4" s="47"/>
      <c r="AP4" s="475" t="s">
        <v>118</v>
      </c>
      <c r="AQ4" s="475" t="s">
        <v>119</v>
      </c>
      <c r="AR4" s="475" t="s">
        <v>120</v>
      </c>
      <c r="AS4" s="475" t="s">
        <v>121</v>
      </c>
      <c r="AT4" s="254"/>
      <c r="AU4" s="254"/>
      <c r="AV4" s="254"/>
      <c r="AW4" s="592" t="s">
        <v>99</v>
      </c>
      <c r="AX4" s="592" t="s">
        <v>113</v>
      </c>
      <c r="AY4" s="592" t="s">
        <v>100</v>
      </c>
      <c r="AZ4" s="592" t="s">
        <v>102</v>
      </c>
      <c r="BA4" s="249"/>
      <c r="BB4" s="526"/>
      <c r="BC4" s="475" t="s">
        <v>121</v>
      </c>
      <c r="BD4" s="475" t="s">
        <v>118</v>
      </c>
      <c r="BE4" s="475" t="s">
        <v>119</v>
      </c>
      <c r="BF4" s="475" t="s">
        <v>120</v>
      </c>
      <c r="BG4" s="610"/>
      <c r="BH4" s="610"/>
      <c r="BI4" s="610"/>
      <c r="BJ4" s="571" t="s">
        <v>54</v>
      </c>
      <c r="BK4" s="571" t="s">
        <v>149</v>
      </c>
      <c r="BL4" s="571" t="s">
        <v>115</v>
      </c>
      <c r="BM4" s="571" t="s">
        <v>116</v>
      </c>
      <c r="BN4" s="605"/>
      <c r="BO4" s="526"/>
      <c r="BP4" s="475" t="s">
        <v>120</v>
      </c>
      <c r="BQ4" s="475" t="s">
        <v>121</v>
      </c>
      <c r="BR4" s="475" t="s">
        <v>118</v>
      </c>
      <c r="BS4" s="475" t="s">
        <v>119</v>
      </c>
      <c r="BT4" s="610"/>
      <c r="BU4" s="610"/>
      <c r="BV4" s="610"/>
      <c r="BW4" s="592" t="s">
        <v>106</v>
      </c>
      <c r="BX4" s="592" t="s">
        <v>55</v>
      </c>
      <c r="BY4" s="592" t="s">
        <v>107</v>
      </c>
      <c r="BZ4" s="592" t="s">
        <v>108</v>
      </c>
      <c r="CA4" s="605"/>
      <c r="CB4" s="526"/>
      <c r="CC4" s="475" t="s">
        <v>120</v>
      </c>
      <c r="CD4" s="475" t="s">
        <v>121</v>
      </c>
      <c r="CE4" s="475" t="s">
        <v>118</v>
      </c>
      <c r="CF4" s="475" t="s">
        <v>119</v>
      </c>
      <c r="CG4" s="610"/>
      <c r="CH4" s="610"/>
      <c r="CI4" s="610"/>
      <c r="CJ4" s="571" t="s">
        <v>109</v>
      </c>
      <c r="CK4" s="571" t="s">
        <v>110</v>
      </c>
      <c r="CL4" s="571" t="s">
        <v>111</v>
      </c>
      <c r="CM4" s="571" t="s">
        <v>150</v>
      </c>
      <c r="CN4" s="605"/>
    </row>
    <row r="5" spans="1:92" ht="15">
      <c r="A5" s="1537"/>
      <c r="B5" s="50"/>
      <c r="C5" s="38"/>
      <c r="D5" s="34"/>
      <c r="E5" s="34"/>
      <c r="F5" s="34"/>
      <c r="G5" s="256"/>
      <c r="H5" s="248"/>
      <c r="I5" s="256"/>
      <c r="J5" s="38"/>
      <c r="K5" s="34"/>
      <c r="L5" s="34"/>
      <c r="M5" s="34"/>
      <c r="N5" s="248"/>
      <c r="O5" s="51">
        <v>1</v>
      </c>
      <c r="P5" s="52">
        <v>12</v>
      </c>
      <c r="Q5" s="53"/>
      <c r="R5" s="53"/>
      <c r="S5" s="173"/>
      <c r="T5" s="257">
        <f>SUM(P$5:S5)</f>
        <v>12</v>
      </c>
      <c r="U5" s="258">
        <f>T5-V5</f>
        <v>12</v>
      </c>
      <c r="V5" s="259">
        <f>SUM(W$5:Z5)</f>
        <v>0</v>
      </c>
      <c r="W5" s="52" t="s">
        <v>2</v>
      </c>
      <c r="X5" s="53"/>
      <c r="Y5" s="53"/>
      <c r="Z5" s="173"/>
      <c r="AA5" s="248"/>
      <c r="AB5" s="51">
        <v>1</v>
      </c>
      <c r="AC5" s="531">
        <v>12</v>
      </c>
      <c r="AD5" s="532"/>
      <c r="AE5" s="532"/>
      <c r="AF5" s="563"/>
      <c r="AG5" s="257">
        <f>SUM(AC$5:AF5)</f>
        <v>12</v>
      </c>
      <c r="AH5" s="258">
        <f t="shared" ref="AH5:AH10" si="0">AG5-AI5</f>
        <v>8</v>
      </c>
      <c r="AI5" s="259">
        <f>SUM(AJ$5:AM5)</f>
        <v>4</v>
      </c>
      <c r="AJ5" s="574">
        <v>4</v>
      </c>
      <c r="AK5" s="532"/>
      <c r="AL5" s="532"/>
      <c r="AM5" s="563"/>
      <c r="AN5" s="248"/>
      <c r="AO5" s="51">
        <v>1</v>
      </c>
      <c r="AP5" s="52">
        <v>11</v>
      </c>
      <c r="AQ5" s="53"/>
      <c r="AR5" s="53"/>
      <c r="AS5" s="173"/>
      <c r="AT5" s="257">
        <f>SUM(AP$5:AS5)</f>
        <v>11</v>
      </c>
      <c r="AU5" s="258">
        <f>AT5-AV5</f>
        <v>3</v>
      </c>
      <c r="AV5" s="259">
        <f>SUM(AW$5:AZ5)</f>
        <v>8</v>
      </c>
      <c r="AW5" s="52">
        <v>8</v>
      </c>
      <c r="AX5" s="53"/>
      <c r="AY5" s="53"/>
      <c r="AZ5" s="173"/>
      <c r="BA5" s="249"/>
      <c r="BB5" s="530">
        <v>1</v>
      </c>
      <c r="BC5" s="531">
        <v>11</v>
      </c>
      <c r="BD5" s="532"/>
      <c r="BE5" s="532"/>
      <c r="BF5" s="600"/>
      <c r="BG5" s="613">
        <f>SUM(BC$5:BF5)</f>
        <v>11</v>
      </c>
      <c r="BH5" s="614">
        <f>BG5-BI5</f>
        <v>0</v>
      </c>
      <c r="BI5" s="615">
        <f>SUM(BJ$5:BM5)</f>
        <v>11</v>
      </c>
      <c r="BJ5" s="531">
        <v>11</v>
      </c>
      <c r="BK5" s="532"/>
      <c r="BL5" s="532"/>
      <c r="BM5" s="600"/>
      <c r="BN5" s="605"/>
      <c r="BO5" s="530">
        <v>1</v>
      </c>
      <c r="BP5" s="531">
        <v>11</v>
      </c>
      <c r="BQ5" s="532"/>
      <c r="BR5" s="532"/>
      <c r="BS5" s="600"/>
      <c r="BT5" s="613">
        <f>SUM(BP$5:BS5)</f>
        <v>11</v>
      </c>
      <c r="BU5" s="614">
        <f t="shared" ref="BU5:BU10" si="1">BT5-BV5</f>
        <v>6</v>
      </c>
      <c r="BV5" s="615">
        <f>SUM(BW$5:BZ5)</f>
        <v>5</v>
      </c>
      <c r="BW5" s="531">
        <v>5</v>
      </c>
      <c r="BX5" s="532"/>
      <c r="BY5" s="532"/>
      <c r="BZ5" s="600"/>
      <c r="CA5" s="605"/>
      <c r="CB5" s="530">
        <v>1</v>
      </c>
      <c r="CC5" s="531">
        <v>11</v>
      </c>
      <c r="CD5" s="532"/>
      <c r="CE5" s="532"/>
      <c r="CF5" s="600"/>
      <c r="CG5" s="613">
        <f>SUM(CC$5:CF5)</f>
        <v>11</v>
      </c>
      <c r="CH5" s="614">
        <f t="shared" ref="CH5:CH10" si="2">CG5-CI5</f>
        <v>2</v>
      </c>
      <c r="CI5" s="615">
        <f>SUM(CJ$5:CM5)</f>
        <v>9</v>
      </c>
      <c r="CJ5" s="531">
        <v>9</v>
      </c>
      <c r="CK5" s="532"/>
      <c r="CL5" s="532"/>
      <c r="CM5" s="600"/>
      <c r="CN5" s="605"/>
    </row>
    <row r="6" spans="1:92" ht="15">
      <c r="A6" s="1537"/>
      <c r="B6" s="50"/>
      <c r="C6" s="34"/>
      <c r="D6" s="38"/>
      <c r="E6" s="38"/>
      <c r="F6" s="34"/>
      <c r="G6" s="256"/>
      <c r="H6" s="248"/>
      <c r="I6" s="256"/>
      <c r="J6" s="34"/>
      <c r="K6" s="38"/>
      <c r="L6" s="38"/>
      <c r="M6" s="34"/>
      <c r="N6" s="248"/>
      <c r="O6" s="56">
        <v>2</v>
      </c>
      <c r="P6" s="53"/>
      <c r="Q6" s="52">
        <v>7</v>
      </c>
      <c r="R6" s="53"/>
      <c r="S6" s="53"/>
      <c r="T6" s="257">
        <f>SUM(P$5:S6)</f>
        <v>19</v>
      </c>
      <c r="U6" s="258">
        <f t="shared" ref="U6:U11" si="3">T6-V6</f>
        <v>8</v>
      </c>
      <c r="V6" s="259">
        <f>SUM(W$5:Z6)</f>
        <v>11</v>
      </c>
      <c r="W6" s="53"/>
      <c r="X6" s="52">
        <v>11</v>
      </c>
      <c r="Y6" s="53"/>
      <c r="Z6" s="53"/>
      <c r="AA6" s="248"/>
      <c r="AB6" s="56">
        <v>2</v>
      </c>
      <c r="AC6" s="532"/>
      <c r="AD6" s="531">
        <v>8</v>
      </c>
      <c r="AE6" s="532"/>
      <c r="AF6" s="532"/>
      <c r="AG6" s="257">
        <f>SUM(AC$5:AF6)</f>
        <v>20</v>
      </c>
      <c r="AH6" s="258">
        <f t="shared" si="0"/>
        <v>9</v>
      </c>
      <c r="AI6" s="259">
        <f>SUM(AJ$5:AM6)</f>
        <v>11</v>
      </c>
      <c r="AJ6" s="575"/>
      <c r="AK6" s="531">
        <v>7</v>
      </c>
      <c r="AL6" s="532"/>
      <c r="AM6" s="532"/>
      <c r="AN6" s="248"/>
      <c r="AO6" s="56">
        <v>2</v>
      </c>
      <c r="AP6" s="53"/>
      <c r="AQ6" s="52" t="s">
        <v>2</v>
      </c>
      <c r="AR6" s="53"/>
      <c r="AS6" s="53"/>
      <c r="AT6" s="257">
        <f>SUM(AP$5:AS6)</f>
        <v>11</v>
      </c>
      <c r="AU6" s="258">
        <f t="shared" ref="AU6:AU12" si="4">AT6-AV6</f>
        <v>-4</v>
      </c>
      <c r="AV6" s="259">
        <f>SUM(AW$5:AZ6)</f>
        <v>15</v>
      </c>
      <c r="AW6" s="53"/>
      <c r="AX6" s="52">
        <v>7</v>
      </c>
      <c r="AY6" s="53"/>
      <c r="AZ6" s="53"/>
      <c r="BA6" s="249"/>
      <c r="BB6" s="533">
        <v>2</v>
      </c>
      <c r="BC6" s="532"/>
      <c r="BD6" s="531">
        <v>9</v>
      </c>
      <c r="BE6" s="532"/>
      <c r="BF6" s="532"/>
      <c r="BG6" s="613">
        <f>SUM(BC$5:BF6)</f>
        <v>20</v>
      </c>
      <c r="BH6" s="614">
        <f t="shared" ref="BH6:BH11" si="5">BG6-BI6</f>
        <v>9</v>
      </c>
      <c r="BI6" s="615">
        <f>SUM(BJ$5:BM6)</f>
        <v>11</v>
      </c>
      <c r="BJ6" s="532"/>
      <c r="BK6" s="531" t="s">
        <v>2</v>
      </c>
      <c r="BL6" s="532"/>
      <c r="BM6" s="532"/>
      <c r="BN6" s="605"/>
      <c r="BO6" s="533">
        <v>2</v>
      </c>
      <c r="BP6" s="532"/>
      <c r="BQ6" s="531">
        <v>6</v>
      </c>
      <c r="BR6" s="532"/>
      <c r="BS6" s="532"/>
      <c r="BT6" s="613">
        <f>SUM(BP$5:BS6)</f>
        <v>17</v>
      </c>
      <c r="BU6" s="614">
        <f t="shared" si="1"/>
        <v>6</v>
      </c>
      <c r="BV6" s="615">
        <f>SUM(BW$5:BZ6)</f>
        <v>11</v>
      </c>
      <c r="BW6" s="532"/>
      <c r="BX6" s="531">
        <v>6</v>
      </c>
      <c r="BY6" s="532"/>
      <c r="BZ6" s="532"/>
      <c r="CA6" s="605"/>
      <c r="CB6" s="533">
        <v>2</v>
      </c>
      <c r="CC6" s="532"/>
      <c r="CD6" s="531">
        <v>7</v>
      </c>
      <c r="CE6" s="532"/>
      <c r="CF6" s="532"/>
      <c r="CG6" s="613">
        <f>SUM(CC$5:CF6)</f>
        <v>18</v>
      </c>
      <c r="CH6" s="614">
        <f t="shared" si="2"/>
        <v>9</v>
      </c>
      <c r="CI6" s="615">
        <f>SUM(CJ$5:CM6)</f>
        <v>9</v>
      </c>
      <c r="CJ6" s="532"/>
      <c r="CK6" s="531" t="s">
        <v>2</v>
      </c>
      <c r="CL6" s="532"/>
      <c r="CM6" s="532"/>
      <c r="CN6" s="605"/>
    </row>
    <row r="7" spans="1:92" ht="15">
      <c r="A7" s="1537"/>
      <c r="B7" s="50"/>
      <c r="C7" s="38"/>
      <c r="D7" s="34"/>
      <c r="E7" s="34"/>
      <c r="F7" s="34"/>
      <c r="G7" s="256"/>
      <c r="H7" s="248"/>
      <c r="I7" s="256"/>
      <c r="J7" s="38"/>
      <c r="K7" s="34"/>
      <c r="L7" s="34"/>
      <c r="M7" s="34"/>
      <c r="N7" s="248"/>
      <c r="O7" s="56">
        <v>3</v>
      </c>
      <c r="P7" s="52"/>
      <c r="Q7" s="53"/>
      <c r="R7" s="53">
        <v>3</v>
      </c>
      <c r="S7" s="173"/>
      <c r="T7" s="257">
        <f>SUM(P$5:S7)</f>
        <v>22</v>
      </c>
      <c r="U7" s="258">
        <f t="shared" si="3"/>
        <v>0</v>
      </c>
      <c r="V7" s="259">
        <f>SUM(W$5:Z7)</f>
        <v>22</v>
      </c>
      <c r="W7" s="52"/>
      <c r="X7" s="53"/>
      <c r="Y7" s="53">
        <v>11</v>
      </c>
      <c r="Z7" s="173"/>
      <c r="AA7" s="248"/>
      <c r="AB7" s="56">
        <v>3</v>
      </c>
      <c r="AC7" s="531"/>
      <c r="AD7" s="532"/>
      <c r="AE7" s="532">
        <v>6</v>
      </c>
      <c r="AF7" s="563"/>
      <c r="AG7" s="257">
        <f>SUM(AC$5:AF7)</f>
        <v>26</v>
      </c>
      <c r="AH7" s="258">
        <f t="shared" si="0"/>
        <v>10</v>
      </c>
      <c r="AI7" s="259">
        <f>SUM(AJ$5:AM7)</f>
        <v>16</v>
      </c>
      <c r="AJ7" s="574"/>
      <c r="AK7" s="532"/>
      <c r="AL7" s="532">
        <v>5</v>
      </c>
      <c r="AM7" s="563"/>
      <c r="AN7" s="248"/>
      <c r="AO7" s="56">
        <v>3</v>
      </c>
      <c r="AP7" s="52"/>
      <c r="AQ7" s="53"/>
      <c r="AR7" s="53">
        <v>3</v>
      </c>
      <c r="AS7" s="173"/>
      <c r="AT7" s="257">
        <f>SUM(AP$5:AS7)</f>
        <v>14</v>
      </c>
      <c r="AU7" s="258">
        <f t="shared" si="4"/>
        <v>-7</v>
      </c>
      <c r="AV7" s="259">
        <f>SUM(AW$5:AZ7)</f>
        <v>21</v>
      </c>
      <c r="AW7" s="52"/>
      <c r="AX7" s="53"/>
      <c r="AY7" s="53">
        <v>6</v>
      </c>
      <c r="AZ7" s="173"/>
      <c r="BA7" s="249"/>
      <c r="BB7" s="533">
        <v>3</v>
      </c>
      <c r="BC7" s="531"/>
      <c r="BD7" s="532"/>
      <c r="BE7" s="532">
        <v>5</v>
      </c>
      <c r="BF7" s="600"/>
      <c r="BG7" s="613">
        <f>SUM(BC$5:BF7)</f>
        <v>25</v>
      </c>
      <c r="BH7" s="614">
        <f t="shared" si="5"/>
        <v>8</v>
      </c>
      <c r="BI7" s="615">
        <f>SUM(BJ$5:BM7)</f>
        <v>17</v>
      </c>
      <c r="BJ7" s="531"/>
      <c r="BK7" s="532"/>
      <c r="BL7" s="532">
        <v>6</v>
      </c>
      <c r="BM7" s="600"/>
      <c r="BN7" s="605"/>
      <c r="BO7" s="533">
        <v>3</v>
      </c>
      <c r="BP7" s="531"/>
      <c r="BQ7" s="532"/>
      <c r="BR7" s="532">
        <v>10</v>
      </c>
      <c r="BS7" s="600"/>
      <c r="BT7" s="613">
        <f>SUM(BP$5:BS7)</f>
        <v>27</v>
      </c>
      <c r="BU7" s="614">
        <f t="shared" si="1"/>
        <v>16</v>
      </c>
      <c r="BV7" s="615">
        <f>SUM(BW$5:BZ7)</f>
        <v>11</v>
      </c>
      <c r="BW7" s="531"/>
      <c r="BX7" s="532"/>
      <c r="BY7" s="532" t="s">
        <v>2</v>
      </c>
      <c r="BZ7" s="600"/>
      <c r="CA7" s="605"/>
      <c r="CB7" s="533">
        <v>3</v>
      </c>
      <c r="CC7" s="531"/>
      <c r="CD7" s="532"/>
      <c r="CE7" s="532">
        <v>7</v>
      </c>
      <c r="CF7" s="600"/>
      <c r="CG7" s="613">
        <f>SUM(CC$5:CF7)</f>
        <v>25</v>
      </c>
      <c r="CH7" s="614">
        <f t="shared" si="2"/>
        <v>11</v>
      </c>
      <c r="CI7" s="615">
        <f>SUM(CJ$5:CM7)</f>
        <v>14</v>
      </c>
      <c r="CJ7" s="531"/>
      <c r="CK7" s="532"/>
      <c r="CL7" s="532">
        <v>5</v>
      </c>
      <c r="CM7" s="600"/>
      <c r="CN7" s="605"/>
    </row>
    <row r="8" spans="1:92" ht="15">
      <c r="A8" s="1537"/>
      <c r="B8" s="50"/>
      <c r="C8" s="34"/>
      <c r="D8" s="38"/>
      <c r="E8" s="38"/>
      <c r="F8" s="34"/>
      <c r="G8" s="256"/>
      <c r="H8" s="248"/>
      <c r="I8" s="256"/>
      <c r="J8" s="34"/>
      <c r="K8" s="38"/>
      <c r="L8" s="38"/>
      <c r="M8" s="34"/>
      <c r="N8" s="248"/>
      <c r="O8" s="56">
        <v>4</v>
      </c>
      <c r="P8" s="53"/>
      <c r="Q8" s="52"/>
      <c r="R8" s="53"/>
      <c r="S8" s="53">
        <v>11</v>
      </c>
      <c r="T8" s="257">
        <f>SUM(P$5:S8)</f>
        <v>33</v>
      </c>
      <c r="U8" s="258">
        <f t="shared" si="3"/>
        <v>4</v>
      </c>
      <c r="V8" s="259">
        <f>SUM(W$5:Z8)</f>
        <v>29</v>
      </c>
      <c r="W8" s="53"/>
      <c r="X8" s="52"/>
      <c r="Y8" s="53"/>
      <c r="Z8" s="53">
        <v>7</v>
      </c>
      <c r="AA8" s="248"/>
      <c r="AB8" s="51">
        <v>4</v>
      </c>
      <c r="AC8" s="532"/>
      <c r="AD8" s="531"/>
      <c r="AE8" s="532"/>
      <c r="AF8" s="532">
        <v>6</v>
      </c>
      <c r="AG8" s="257">
        <f>SUM(AC$5:AF8)</f>
        <v>32</v>
      </c>
      <c r="AH8" s="258">
        <f t="shared" si="0"/>
        <v>16</v>
      </c>
      <c r="AI8" s="259">
        <f>SUM(AJ$5:AM8)</f>
        <v>16</v>
      </c>
      <c r="AJ8" s="575"/>
      <c r="AK8" s="531"/>
      <c r="AL8" s="532"/>
      <c r="AM8" s="532" t="s">
        <v>2</v>
      </c>
      <c r="AN8" s="248"/>
      <c r="AO8" s="56">
        <v>4</v>
      </c>
      <c r="AP8" s="53"/>
      <c r="AQ8" s="52"/>
      <c r="AR8" s="53"/>
      <c r="AS8" s="53">
        <v>2</v>
      </c>
      <c r="AT8" s="257">
        <f>SUM(AP$5:AS8)</f>
        <v>16</v>
      </c>
      <c r="AU8" s="258">
        <f t="shared" si="4"/>
        <v>-7</v>
      </c>
      <c r="AV8" s="259">
        <f>SUM(AW$5:AZ8)</f>
        <v>23</v>
      </c>
      <c r="AW8" s="53"/>
      <c r="AX8" s="52"/>
      <c r="AY8" s="53"/>
      <c r="AZ8" s="53">
        <v>2</v>
      </c>
      <c r="BA8" s="249"/>
      <c r="BB8" s="533">
        <v>4</v>
      </c>
      <c r="BC8" s="532"/>
      <c r="BD8" s="531"/>
      <c r="BE8" s="532"/>
      <c r="BF8" s="532">
        <v>10</v>
      </c>
      <c r="BG8" s="613">
        <f>SUM(BC$5:BF8)</f>
        <v>35</v>
      </c>
      <c r="BH8" s="614">
        <f t="shared" si="5"/>
        <v>8</v>
      </c>
      <c r="BI8" s="615">
        <f>SUM(BJ$5:BM8)</f>
        <v>27</v>
      </c>
      <c r="BJ8" s="532"/>
      <c r="BK8" s="531"/>
      <c r="BL8" s="532"/>
      <c r="BM8" s="532">
        <v>10</v>
      </c>
      <c r="BN8" s="605"/>
      <c r="BO8" s="533">
        <v>4</v>
      </c>
      <c r="BP8" s="532"/>
      <c r="BQ8" s="531"/>
      <c r="BR8" s="532"/>
      <c r="BS8" s="532">
        <v>10</v>
      </c>
      <c r="BT8" s="613">
        <f>SUM(BP$5:BS8)</f>
        <v>37</v>
      </c>
      <c r="BU8" s="614">
        <f t="shared" si="1"/>
        <v>22</v>
      </c>
      <c r="BV8" s="615">
        <f>SUM(BW$5:BZ8)</f>
        <v>15</v>
      </c>
      <c r="BW8" s="532"/>
      <c r="BX8" s="531"/>
      <c r="BY8" s="532"/>
      <c r="BZ8" s="532">
        <v>4</v>
      </c>
      <c r="CA8" s="605"/>
      <c r="CB8" s="533">
        <v>4</v>
      </c>
      <c r="CC8" s="532"/>
      <c r="CD8" s="531"/>
      <c r="CE8" s="532"/>
      <c r="CF8" s="532">
        <v>7</v>
      </c>
      <c r="CG8" s="613">
        <f>SUM(CC$5:CF8)</f>
        <v>32</v>
      </c>
      <c r="CH8" s="614">
        <f t="shared" si="2"/>
        <v>12</v>
      </c>
      <c r="CI8" s="615">
        <f>SUM(CJ$5:CM8)</f>
        <v>20</v>
      </c>
      <c r="CJ8" s="532"/>
      <c r="CK8" s="531"/>
      <c r="CL8" s="532"/>
      <c r="CM8" s="532">
        <v>6</v>
      </c>
      <c r="CN8" s="605"/>
    </row>
    <row r="9" spans="1:92" ht="15">
      <c r="A9" s="1537"/>
      <c r="B9" s="50"/>
      <c r="C9" s="38"/>
      <c r="D9" s="34"/>
      <c r="E9" s="34"/>
      <c r="F9" s="34"/>
      <c r="G9" s="256"/>
      <c r="H9" s="248"/>
      <c r="I9" s="256"/>
      <c r="J9" s="38"/>
      <c r="K9" s="34"/>
      <c r="L9" s="34"/>
      <c r="M9" s="34"/>
      <c r="N9" s="248"/>
      <c r="O9" s="56">
        <v>5</v>
      </c>
      <c r="P9" s="52">
        <v>3</v>
      </c>
      <c r="Q9" s="53"/>
      <c r="R9" s="53"/>
      <c r="S9" s="173"/>
      <c r="T9" s="257">
        <f>SUM(P$5:S9)</f>
        <v>36</v>
      </c>
      <c r="U9" s="258">
        <f t="shared" si="3"/>
        <v>-4</v>
      </c>
      <c r="V9" s="259">
        <f>SUM(W$5:Z9)</f>
        <v>40</v>
      </c>
      <c r="W9" s="52">
        <v>11</v>
      </c>
      <c r="X9" s="53"/>
      <c r="Y9" s="53"/>
      <c r="Z9" s="173"/>
      <c r="AA9" s="248"/>
      <c r="AB9" s="56">
        <v>5</v>
      </c>
      <c r="AC9" s="531">
        <v>7</v>
      </c>
      <c r="AD9" s="532"/>
      <c r="AE9" s="532"/>
      <c r="AF9" s="563"/>
      <c r="AG9" s="257">
        <f>SUM(AC$5:AF9)</f>
        <v>39</v>
      </c>
      <c r="AH9" s="258">
        <f t="shared" si="0"/>
        <v>15</v>
      </c>
      <c r="AI9" s="259">
        <f>SUM(AJ$5:AM9)</f>
        <v>24</v>
      </c>
      <c r="AJ9" s="574">
        <v>8</v>
      </c>
      <c r="AK9" s="532"/>
      <c r="AL9" s="532"/>
      <c r="AM9" s="563"/>
      <c r="AN9" s="248"/>
      <c r="AO9" s="56">
        <v>5</v>
      </c>
      <c r="AP9" s="52">
        <v>9</v>
      </c>
      <c r="AQ9" s="53"/>
      <c r="AR9" s="53"/>
      <c r="AS9" s="173"/>
      <c r="AT9" s="257">
        <f>SUM(AP$5:AS9)</f>
        <v>25</v>
      </c>
      <c r="AU9" s="258">
        <f t="shared" si="4"/>
        <v>0</v>
      </c>
      <c r="AV9" s="259">
        <f>SUM(AW$5:AZ9)</f>
        <v>25</v>
      </c>
      <c r="AW9" s="52">
        <v>2</v>
      </c>
      <c r="AX9" s="53"/>
      <c r="AY9" s="53"/>
      <c r="AZ9" s="173"/>
      <c r="BA9" s="249"/>
      <c r="BB9" s="533">
        <v>5</v>
      </c>
      <c r="BC9" s="531">
        <v>5</v>
      </c>
      <c r="BD9" s="532"/>
      <c r="BE9" s="532"/>
      <c r="BF9" s="600"/>
      <c r="BG9" s="613">
        <f>SUM(BC$5:BF9)</f>
        <v>40</v>
      </c>
      <c r="BH9" s="614">
        <f t="shared" si="5"/>
        <v>3</v>
      </c>
      <c r="BI9" s="615">
        <f>SUM(BJ$5:BM9)</f>
        <v>37</v>
      </c>
      <c r="BJ9" s="531">
        <v>10</v>
      </c>
      <c r="BK9" s="532"/>
      <c r="BL9" s="532"/>
      <c r="BM9" s="600"/>
      <c r="BN9" s="605"/>
      <c r="BO9" s="533">
        <v>5</v>
      </c>
      <c r="BP9" s="531">
        <v>5</v>
      </c>
      <c r="BQ9" s="532"/>
      <c r="BR9" s="532"/>
      <c r="BS9" s="600"/>
      <c r="BT9" s="613">
        <f>SUM(BP$5:BS9)</f>
        <v>42</v>
      </c>
      <c r="BU9" s="614">
        <f t="shared" si="1"/>
        <v>27</v>
      </c>
      <c r="BV9" s="615">
        <f>SUM(BW$5:BZ9)</f>
        <v>15</v>
      </c>
      <c r="BW9" s="531" t="s">
        <v>2</v>
      </c>
      <c r="BX9" s="532"/>
      <c r="BY9" s="532"/>
      <c r="BZ9" s="600"/>
      <c r="CA9" s="605"/>
      <c r="CB9" s="533">
        <v>5</v>
      </c>
      <c r="CC9" s="531">
        <v>8</v>
      </c>
      <c r="CD9" s="532"/>
      <c r="CE9" s="532"/>
      <c r="CF9" s="600"/>
      <c r="CG9" s="613">
        <f>SUM(CC$5:CF9)</f>
        <v>40</v>
      </c>
      <c r="CH9" s="614">
        <f t="shared" si="2"/>
        <v>10</v>
      </c>
      <c r="CI9" s="615">
        <f>SUM(CJ$5:CM9)</f>
        <v>30</v>
      </c>
      <c r="CJ9" s="531">
        <v>10</v>
      </c>
      <c r="CK9" s="532"/>
      <c r="CL9" s="532"/>
      <c r="CM9" s="600"/>
      <c r="CN9" s="605"/>
    </row>
    <row r="10" spans="1:92" ht="15">
      <c r="A10" s="1537"/>
      <c r="B10" s="50"/>
      <c r="C10" s="34"/>
      <c r="D10" s="38"/>
      <c r="E10" s="38"/>
      <c r="F10" s="34"/>
      <c r="G10" s="256"/>
      <c r="H10" s="248"/>
      <c r="I10" s="256"/>
      <c r="J10" s="34"/>
      <c r="K10" s="38"/>
      <c r="L10" s="38"/>
      <c r="M10" s="34"/>
      <c r="N10" s="248"/>
      <c r="O10" s="56">
        <v>6</v>
      </c>
      <c r="P10" s="53"/>
      <c r="Q10" s="52">
        <v>11</v>
      </c>
      <c r="R10" s="53"/>
      <c r="S10" s="53"/>
      <c r="T10" s="257">
        <f>SUM(P$5:S10)</f>
        <v>47</v>
      </c>
      <c r="U10" s="258">
        <f t="shared" si="3"/>
        <v>5</v>
      </c>
      <c r="V10" s="259">
        <f>SUM(W$5:Z10)</f>
        <v>42</v>
      </c>
      <c r="W10" s="53"/>
      <c r="X10" s="52">
        <v>2</v>
      </c>
      <c r="Y10" s="53"/>
      <c r="Z10" s="53"/>
      <c r="AA10" s="248"/>
      <c r="AB10" s="56">
        <v>6</v>
      </c>
      <c r="AC10" s="532"/>
      <c r="AD10" s="565">
        <v>11</v>
      </c>
      <c r="AE10" s="532"/>
      <c r="AF10" s="532"/>
      <c r="AG10" s="257">
        <f>SUM(AC$5:AF10)</f>
        <v>50</v>
      </c>
      <c r="AH10" s="258">
        <f t="shared" si="0"/>
        <v>26</v>
      </c>
      <c r="AI10" s="259">
        <f>SUM(AJ$5:AM10)</f>
        <v>24</v>
      </c>
      <c r="AJ10" s="575"/>
      <c r="AK10" s="531"/>
      <c r="AL10" s="532"/>
      <c r="AM10" s="532"/>
      <c r="AN10" s="248"/>
      <c r="AO10" s="56">
        <v>6</v>
      </c>
      <c r="AP10" s="53"/>
      <c r="AQ10" s="52">
        <v>10</v>
      </c>
      <c r="AR10" s="53"/>
      <c r="AS10" s="53"/>
      <c r="AT10" s="257">
        <f>SUM(AP$5:AS10)</f>
        <v>35</v>
      </c>
      <c r="AU10" s="258">
        <f t="shared" si="4"/>
        <v>0</v>
      </c>
      <c r="AV10" s="259">
        <f>SUM(AW$5:AZ10)</f>
        <v>35</v>
      </c>
      <c r="AW10" s="53"/>
      <c r="AX10" s="52">
        <v>10</v>
      </c>
      <c r="AY10" s="53"/>
      <c r="AZ10" s="53"/>
      <c r="BA10" s="249"/>
      <c r="BB10" s="533">
        <v>6</v>
      </c>
      <c r="BC10" s="532"/>
      <c r="BD10" s="531" t="s">
        <v>2</v>
      </c>
      <c r="BE10" s="532"/>
      <c r="BF10" s="532"/>
      <c r="BG10" s="613">
        <f>SUM(BC$5:BF10)</f>
        <v>40</v>
      </c>
      <c r="BH10" s="614">
        <f t="shared" si="5"/>
        <v>-1</v>
      </c>
      <c r="BI10" s="615">
        <f>SUM(BJ$5:BM10)</f>
        <v>41</v>
      </c>
      <c r="BJ10" s="532"/>
      <c r="BK10" s="531">
        <v>4</v>
      </c>
      <c r="BL10" s="532"/>
      <c r="BM10" s="532"/>
      <c r="BN10" s="605"/>
      <c r="BO10" s="533">
        <v>6</v>
      </c>
      <c r="BP10" s="532"/>
      <c r="BQ10" s="1427">
        <v>8</v>
      </c>
      <c r="BR10" s="532"/>
      <c r="BS10" s="532"/>
      <c r="BT10" s="613">
        <f>SUM(BP$5:BS10)</f>
        <v>50</v>
      </c>
      <c r="BU10" s="614">
        <f t="shared" si="1"/>
        <v>35</v>
      </c>
      <c r="BV10" s="615">
        <f>SUM(BW$5:BZ10)</f>
        <v>15</v>
      </c>
      <c r="BW10" s="532"/>
      <c r="BX10" s="531"/>
      <c r="BY10" s="532"/>
      <c r="BZ10" s="532"/>
      <c r="CA10" s="605"/>
      <c r="CB10" s="533">
        <v>6</v>
      </c>
      <c r="CC10" s="532"/>
      <c r="CD10" s="1427">
        <v>10</v>
      </c>
      <c r="CE10" s="532"/>
      <c r="CF10" s="532"/>
      <c r="CG10" s="613">
        <f>SUM(CC$5:CF10)</f>
        <v>50</v>
      </c>
      <c r="CH10" s="614">
        <f t="shared" si="2"/>
        <v>20</v>
      </c>
      <c r="CI10" s="615">
        <f>SUM(CJ$5:CM10)</f>
        <v>30</v>
      </c>
      <c r="CJ10" s="532"/>
      <c r="CK10" s="531"/>
      <c r="CL10" s="532"/>
      <c r="CM10" s="532"/>
      <c r="CN10" s="605"/>
    </row>
    <row r="11" spans="1:92" ht="15">
      <c r="A11" s="1537"/>
      <c r="B11" s="50"/>
      <c r="C11" s="38"/>
      <c r="D11" s="34"/>
      <c r="E11" s="34"/>
      <c r="F11" s="34"/>
      <c r="G11" s="256"/>
      <c r="H11" s="248"/>
      <c r="I11" s="256"/>
      <c r="J11" s="57"/>
      <c r="K11" s="34"/>
      <c r="L11" s="34"/>
      <c r="M11" s="34"/>
      <c r="N11" s="248"/>
      <c r="O11" s="56">
        <v>7</v>
      </c>
      <c r="P11" s="52"/>
      <c r="Q11" s="53"/>
      <c r="R11" s="565">
        <v>3</v>
      </c>
      <c r="S11" s="173"/>
      <c r="T11" s="257">
        <f>SUM(P$5:S11)</f>
        <v>50</v>
      </c>
      <c r="U11" s="258">
        <f t="shared" si="3"/>
        <v>8</v>
      </c>
      <c r="V11" s="259">
        <f>SUM(W$5:Z11)</f>
        <v>42</v>
      </c>
      <c r="W11" s="52"/>
      <c r="X11" s="53"/>
      <c r="Y11" s="53"/>
      <c r="Z11" s="173"/>
      <c r="AA11" s="248"/>
      <c r="AB11" s="522"/>
      <c r="AC11" s="534"/>
      <c r="AD11" s="616"/>
      <c r="AE11" s="616"/>
      <c r="AF11" s="534"/>
      <c r="AG11" s="616"/>
      <c r="AH11" s="607"/>
      <c r="AI11" s="607"/>
      <c r="AJ11" s="534"/>
      <c r="AK11" s="616"/>
      <c r="AL11" s="616"/>
      <c r="AM11" s="534"/>
      <c r="AN11" s="248"/>
      <c r="AO11" s="56">
        <v>7</v>
      </c>
      <c r="AP11" s="52"/>
      <c r="AQ11" s="53"/>
      <c r="AR11" s="53">
        <v>5</v>
      </c>
      <c r="AS11" s="173"/>
      <c r="AT11" s="257">
        <f>SUM(AP$5:AS11)</f>
        <v>40</v>
      </c>
      <c r="AU11" s="258">
        <f t="shared" si="4"/>
        <v>5</v>
      </c>
      <c r="AV11" s="259">
        <f>SUM(AW$5:AZ11)</f>
        <v>35</v>
      </c>
      <c r="AW11" s="52"/>
      <c r="AX11" s="53"/>
      <c r="AY11" s="53" t="s">
        <v>2</v>
      </c>
      <c r="AZ11" s="173"/>
      <c r="BA11" s="249"/>
      <c r="BB11" s="533">
        <v>7</v>
      </c>
      <c r="BC11" s="531"/>
      <c r="BD11" s="532"/>
      <c r="BE11" s="565">
        <v>10</v>
      </c>
      <c r="BF11" s="600"/>
      <c r="BG11" s="613">
        <f>SUM(BC$5:BF11)</f>
        <v>50</v>
      </c>
      <c r="BH11" s="614">
        <f t="shared" si="5"/>
        <v>9</v>
      </c>
      <c r="BI11" s="615">
        <f>SUM(BJ$5:BM11)</f>
        <v>41</v>
      </c>
      <c r="BJ11" s="531"/>
      <c r="BK11" s="532"/>
      <c r="BL11" s="532"/>
      <c r="BM11" s="600"/>
      <c r="BN11" s="605"/>
      <c r="BO11" s="522"/>
      <c r="BP11" s="534"/>
      <c r="BQ11" s="616"/>
      <c r="BR11" s="616"/>
      <c r="BS11" s="534"/>
      <c r="BT11" s="616"/>
      <c r="BU11" s="607"/>
      <c r="BV11" s="607"/>
      <c r="BW11" s="534"/>
      <c r="BX11" s="616"/>
      <c r="BY11" s="616"/>
      <c r="BZ11" s="534"/>
      <c r="CA11" s="605"/>
      <c r="CB11" s="522"/>
      <c r="CC11" s="534"/>
      <c r="CD11" s="616"/>
      <c r="CE11" s="616"/>
      <c r="CF11" s="534"/>
      <c r="CG11" s="616"/>
      <c r="CH11" s="607"/>
      <c r="CI11" s="607"/>
      <c r="CJ11" s="534"/>
      <c r="CK11" s="616"/>
      <c r="CL11" s="616"/>
      <c r="CM11" s="534"/>
      <c r="CN11" s="605"/>
    </row>
    <row r="12" spans="1:92" ht="15">
      <c r="A12" s="1537"/>
      <c r="B12" s="50"/>
      <c r="C12" s="34"/>
      <c r="D12" s="38"/>
      <c r="E12" s="38"/>
      <c r="F12" s="34"/>
      <c r="G12" s="256"/>
      <c r="H12" s="248"/>
      <c r="I12" s="256"/>
      <c r="J12" s="34"/>
      <c r="K12" s="38"/>
      <c r="L12" s="38"/>
      <c r="M12" s="34"/>
      <c r="N12" s="248"/>
      <c r="O12" s="522"/>
      <c r="P12" s="534"/>
      <c r="Q12" s="616"/>
      <c r="R12" s="534"/>
      <c r="S12" s="534"/>
      <c r="T12" s="616"/>
      <c r="U12" s="607"/>
      <c r="V12" s="607"/>
      <c r="W12" s="534"/>
      <c r="X12" s="616"/>
      <c r="Y12" s="616"/>
      <c r="Z12" s="534"/>
      <c r="AA12" s="248"/>
      <c r="AB12" s="522"/>
      <c r="AC12" s="534"/>
      <c r="AD12" s="616"/>
      <c r="AE12" s="616"/>
      <c r="AF12" s="534"/>
      <c r="AG12" s="616"/>
      <c r="AH12" s="607"/>
      <c r="AI12" s="607"/>
      <c r="AJ12" s="534"/>
      <c r="AK12" s="616"/>
      <c r="AL12" s="616"/>
      <c r="AM12" s="534"/>
      <c r="AN12" s="248"/>
      <c r="AO12" s="51">
        <v>8</v>
      </c>
      <c r="AP12" s="52"/>
      <c r="AQ12" s="53"/>
      <c r="AR12" s="53"/>
      <c r="AS12" s="565">
        <v>10</v>
      </c>
      <c r="AT12" s="257">
        <f>SUM(AP$5:AS12)</f>
        <v>50</v>
      </c>
      <c r="AU12" s="258">
        <f t="shared" si="4"/>
        <v>15</v>
      </c>
      <c r="AV12" s="259">
        <f>SUM(AW$5:AZ12)</f>
        <v>35</v>
      </c>
      <c r="AW12" s="52"/>
      <c r="AX12" s="53"/>
      <c r="AY12" s="53"/>
      <c r="AZ12" s="600"/>
      <c r="BA12" s="249"/>
      <c r="BB12" s="522"/>
      <c r="BC12" s="534"/>
      <c r="BD12" s="616"/>
      <c r="BE12" s="616"/>
      <c r="BF12" s="534"/>
      <c r="BG12" s="616"/>
      <c r="BH12" s="607"/>
      <c r="BI12" s="607"/>
      <c r="BJ12" s="534"/>
      <c r="BK12" s="616"/>
      <c r="BL12" s="616"/>
      <c r="BM12" s="534"/>
      <c r="BN12" s="605"/>
      <c r="BO12" s="522"/>
      <c r="BP12" s="534"/>
      <c r="BQ12" s="616"/>
      <c r="BR12" s="616"/>
      <c r="BS12" s="534"/>
      <c r="BT12" s="616"/>
      <c r="BU12" s="607"/>
      <c r="BV12" s="607"/>
      <c r="BW12" s="534"/>
      <c r="BX12" s="616"/>
      <c r="BY12" s="616"/>
      <c r="BZ12" s="534"/>
      <c r="CA12" s="605"/>
      <c r="CB12" s="522"/>
      <c r="CC12" s="534"/>
      <c r="CD12" s="616"/>
      <c r="CE12" s="616"/>
      <c r="CF12" s="534"/>
      <c r="CG12" s="616"/>
      <c r="CH12" s="607"/>
      <c r="CI12" s="607"/>
      <c r="CJ12" s="534"/>
      <c r="CK12" s="616"/>
      <c r="CL12" s="616"/>
      <c r="CM12" s="534"/>
      <c r="CN12" s="605"/>
    </row>
    <row r="13" spans="1:92" ht="15">
      <c r="A13" s="1537"/>
      <c r="B13" s="50"/>
      <c r="C13" s="34"/>
      <c r="D13" s="38"/>
      <c r="E13" s="38"/>
      <c r="F13" s="34"/>
      <c r="G13" s="256"/>
      <c r="H13" s="248"/>
      <c r="I13" s="256"/>
      <c r="J13" s="34"/>
      <c r="K13" s="38"/>
      <c r="L13" s="38"/>
      <c r="M13" s="34"/>
      <c r="N13" s="248"/>
      <c r="O13" s="522"/>
      <c r="P13" s="534"/>
      <c r="Q13" s="616"/>
      <c r="R13" s="534"/>
      <c r="S13" s="534"/>
      <c r="T13" s="616"/>
      <c r="U13" s="607"/>
      <c r="V13" s="607"/>
      <c r="W13" s="534"/>
      <c r="X13" s="616"/>
      <c r="Y13" s="616"/>
      <c r="Z13" s="534"/>
      <c r="AA13" s="248"/>
      <c r="AB13" s="522"/>
      <c r="AC13" s="534"/>
      <c r="AD13" s="616"/>
      <c r="AE13" s="616"/>
      <c r="AF13" s="534"/>
      <c r="AG13" s="616"/>
      <c r="AH13" s="607"/>
      <c r="AI13" s="607"/>
      <c r="AJ13" s="534"/>
      <c r="AK13" s="616"/>
      <c r="AL13" s="616"/>
      <c r="AM13" s="534"/>
      <c r="AN13" s="248"/>
      <c r="AO13" s="522"/>
      <c r="AP13" s="534"/>
      <c r="AQ13" s="616"/>
      <c r="AR13" s="616"/>
      <c r="AS13" s="534"/>
      <c r="AT13" s="616"/>
      <c r="AU13" s="607"/>
      <c r="AV13" s="607"/>
      <c r="AW13" s="534"/>
      <c r="AX13" s="616"/>
      <c r="AY13" s="616"/>
      <c r="AZ13" s="534"/>
      <c r="BA13" s="249"/>
      <c r="BB13" s="522"/>
      <c r="BC13" s="534"/>
      <c r="BD13" s="616"/>
      <c r="BE13" s="616"/>
      <c r="BF13" s="534"/>
      <c r="BG13" s="616"/>
      <c r="BH13" s="607"/>
      <c r="BI13" s="607"/>
      <c r="BJ13" s="534"/>
      <c r="BK13" s="616"/>
      <c r="BL13" s="616"/>
      <c r="BM13" s="534"/>
      <c r="BN13" s="605"/>
      <c r="BO13" s="522"/>
      <c r="BP13" s="534"/>
      <c r="BQ13" s="616"/>
      <c r="BR13" s="616"/>
      <c r="BS13" s="534"/>
      <c r="BT13" s="616"/>
      <c r="BU13" s="607"/>
      <c r="BV13" s="607"/>
      <c r="BW13" s="534"/>
      <c r="BX13" s="616"/>
      <c r="BY13" s="616"/>
      <c r="BZ13" s="534"/>
      <c r="CA13" s="605"/>
      <c r="CB13" s="522"/>
      <c r="CC13" s="534"/>
      <c r="CD13" s="616"/>
      <c r="CE13" s="616"/>
      <c r="CF13" s="534"/>
      <c r="CG13" s="616"/>
      <c r="CH13" s="607"/>
      <c r="CI13" s="607"/>
      <c r="CJ13" s="534"/>
      <c r="CK13" s="616"/>
      <c r="CL13" s="616"/>
      <c r="CM13" s="534"/>
      <c r="CN13" s="605"/>
    </row>
    <row r="14" spans="1:92" ht="15">
      <c r="A14" s="1537"/>
      <c r="B14" s="61"/>
      <c r="C14" s="34"/>
      <c r="D14" s="34"/>
      <c r="E14" s="34"/>
      <c r="F14" s="34"/>
      <c r="G14" s="62"/>
      <c r="H14" s="248"/>
      <c r="I14" s="62"/>
      <c r="J14" s="34"/>
      <c r="K14" s="34"/>
      <c r="L14" s="34"/>
      <c r="M14" s="34"/>
      <c r="N14" s="248"/>
      <c r="O14" s="64" t="s">
        <v>3</v>
      </c>
      <c r="P14" s="52">
        <f>SUM(P5:P13)</f>
        <v>15</v>
      </c>
      <c r="Q14" s="65">
        <f>SUM(Q5:Q13)</f>
        <v>18</v>
      </c>
      <c r="R14" s="52">
        <f>SUM(R5:R13)</f>
        <v>6</v>
      </c>
      <c r="S14" s="52">
        <f>SUM(S5:S13)</f>
        <v>11</v>
      </c>
      <c r="T14" s="66">
        <f>SUM(P14:S14)</f>
        <v>50</v>
      </c>
      <c r="U14" s="251"/>
      <c r="V14" s="66">
        <f>SUM(W14:Z14)</f>
        <v>42</v>
      </c>
      <c r="W14" s="52">
        <f>SUM(W5:W13)</f>
        <v>11</v>
      </c>
      <c r="X14" s="52">
        <f>SUM(X5:X13)</f>
        <v>13</v>
      </c>
      <c r="Y14" s="52">
        <f>SUM(Y5:Y13)</f>
        <v>11</v>
      </c>
      <c r="Z14" s="52">
        <f>SUM(Z5:Z13)</f>
        <v>7</v>
      </c>
      <c r="AA14" s="248"/>
      <c r="AB14" s="64" t="s">
        <v>3</v>
      </c>
      <c r="AC14" s="52">
        <f>SUM(AC5:AC13)</f>
        <v>19</v>
      </c>
      <c r="AD14" s="52">
        <f>SUM(AD5:AD13)</f>
        <v>19</v>
      </c>
      <c r="AE14" s="52">
        <f>SUM(AE5:AE13)</f>
        <v>6</v>
      </c>
      <c r="AF14" s="52">
        <f>SUM(AF5:AF13)</f>
        <v>6</v>
      </c>
      <c r="AG14" s="66">
        <f>SUM(AC14:AF14)</f>
        <v>50</v>
      </c>
      <c r="AH14" s="251"/>
      <c r="AI14" s="66">
        <f>SUM(AJ14:AM14)</f>
        <v>24</v>
      </c>
      <c r="AJ14" s="52">
        <f>SUM(AJ5:AJ13)</f>
        <v>12</v>
      </c>
      <c r="AK14" s="52">
        <f>SUM(AK5:AK13)</f>
        <v>7</v>
      </c>
      <c r="AL14" s="52">
        <f>SUM(AL5:AL13)</f>
        <v>5</v>
      </c>
      <c r="AM14" s="65">
        <f>SUM(AM5:AM13)</f>
        <v>0</v>
      </c>
      <c r="AN14" s="248"/>
      <c r="AO14" s="64" t="s">
        <v>3</v>
      </c>
      <c r="AP14" s="52">
        <f>SUM(AP5:AP13)</f>
        <v>20</v>
      </c>
      <c r="AQ14" s="65">
        <f>SUM(AQ5:AQ13)</f>
        <v>10</v>
      </c>
      <c r="AR14" s="65">
        <f>SUM(AR5:AR13)</f>
        <v>8</v>
      </c>
      <c r="AS14" s="52">
        <f>SUM(AS5:AS13)</f>
        <v>12</v>
      </c>
      <c r="AT14" s="66">
        <f>SUM(AP14:AS14)</f>
        <v>50</v>
      </c>
      <c r="AU14" s="251"/>
      <c r="AV14" s="66">
        <f>SUM(AW14:AZ14)</f>
        <v>35</v>
      </c>
      <c r="AW14" s="52">
        <f>SUM(AW5:AW13)</f>
        <v>10</v>
      </c>
      <c r="AX14" s="52">
        <f>SUM(AX5:AX13)</f>
        <v>17</v>
      </c>
      <c r="AY14" s="52">
        <f>SUM(AY5:AY13)</f>
        <v>6</v>
      </c>
      <c r="AZ14" s="52">
        <f>SUM(AZ5:AZ13)</f>
        <v>2</v>
      </c>
      <c r="BA14" s="249"/>
      <c r="BB14" s="539" t="s">
        <v>3</v>
      </c>
      <c r="BC14" s="531">
        <f>SUM(BC5:BC13)</f>
        <v>16</v>
      </c>
      <c r="BD14" s="540">
        <f>SUM(BD5:BD13)</f>
        <v>9</v>
      </c>
      <c r="BE14" s="540">
        <f>SUM(BE5:BE13)</f>
        <v>15</v>
      </c>
      <c r="BF14" s="531">
        <f>SUM(BF5:BF13)</f>
        <v>10</v>
      </c>
      <c r="BG14" s="541">
        <f>SUM(BC14:BF14)</f>
        <v>50</v>
      </c>
      <c r="BH14" s="607"/>
      <c r="BI14" s="541">
        <f>SUM(BJ14:BM14)</f>
        <v>41</v>
      </c>
      <c r="BJ14" s="531">
        <f>SUM(BJ5:BJ13)</f>
        <v>21</v>
      </c>
      <c r="BK14" s="531">
        <f>SUM(BK5:BK13)</f>
        <v>4</v>
      </c>
      <c r="BL14" s="531">
        <f>SUM(BL5:BL13)</f>
        <v>6</v>
      </c>
      <c r="BM14" s="531">
        <f>SUM(BM5:BM13)</f>
        <v>10</v>
      </c>
      <c r="BN14" s="605"/>
      <c r="BO14" s="539" t="s">
        <v>3</v>
      </c>
      <c r="BP14" s="531">
        <f>SUM(BP5:BP13)</f>
        <v>16</v>
      </c>
      <c r="BQ14" s="540">
        <f>SUM(BQ5:BQ13)</f>
        <v>14</v>
      </c>
      <c r="BR14" s="540">
        <f>SUM(BR5:BR13)</f>
        <v>10</v>
      </c>
      <c r="BS14" s="531">
        <f>SUM(BS5:BS13)</f>
        <v>10</v>
      </c>
      <c r="BT14" s="541">
        <f>SUM(BP14:BS14)</f>
        <v>50</v>
      </c>
      <c r="BU14" s="607"/>
      <c r="BV14" s="541">
        <f>SUM(BW14:BZ14)</f>
        <v>15</v>
      </c>
      <c r="BW14" s="531">
        <f>SUM(BW5:BW13)</f>
        <v>5</v>
      </c>
      <c r="BX14" s="531">
        <f>SUM(BX5:BX13)</f>
        <v>6</v>
      </c>
      <c r="BY14" s="531">
        <f>SUM(BY5:BY13)</f>
        <v>0</v>
      </c>
      <c r="BZ14" s="531">
        <f>SUM(BZ5:BZ13)</f>
        <v>4</v>
      </c>
      <c r="CA14" s="605"/>
      <c r="CB14" s="539" t="s">
        <v>3</v>
      </c>
      <c r="CC14" s="531">
        <f>SUM(CC5:CC13)</f>
        <v>19</v>
      </c>
      <c r="CD14" s="540">
        <f>SUM(CD5:CD13)</f>
        <v>17</v>
      </c>
      <c r="CE14" s="540">
        <f>SUM(CE5:CE13)</f>
        <v>7</v>
      </c>
      <c r="CF14" s="531">
        <f>SUM(CF5:CF13)</f>
        <v>7</v>
      </c>
      <c r="CG14" s="541">
        <f>SUM(CC14:CF14)</f>
        <v>50</v>
      </c>
      <c r="CH14" s="607"/>
      <c r="CI14" s="541">
        <f>SUM(CJ14:CM14)</f>
        <v>30</v>
      </c>
      <c r="CJ14" s="531">
        <f>SUM(CJ5:CJ13)</f>
        <v>19</v>
      </c>
      <c r="CK14" s="531">
        <f>SUM(CK5:CK13)</f>
        <v>0</v>
      </c>
      <c r="CL14" s="531">
        <f>SUM(CL5:CL13)</f>
        <v>5</v>
      </c>
      <c r="CM14" s="531">
        <f>SUM(CM5:CM13)</f>
        <v>6</v>
      </c>
      <c r="CN14" s="605"/>
    </row>
    <row r="15" spans="1:92" ht="15">
      <c r="A15" s="1537"/>
      <c r="B15" s="61"/>
      <c r="C15" s="38"/>
      <c r="D15" s="38"/>
      <c r="E15" s="38"/>
      <c r="F15" s="38"/>
      <c r="G15" s="62"/>
      <c r="H15" s="248"/>
      <c r="I15" s="62"/>
      <c r="J15" s="63"/>
      <c r="K15" s="63"/>
      <c r="L15" s="63"/>
      <c r="M15" s="38"/>
      <c r="N15" s="248"/>
      <c r="O15" s="67" t="s">
        <v>4</v>
      </c>
      <c r="P15" s="53">
        <f>COUNTA(P5:P13)</f>
        <v>2</v>
      </c>
      <c r="Q15" s="53">
        <f>COUNTA(Q5:Q13)</f>
        <v>2</v>
      </c>
      <c r="R15" s="53">
        <f>COUNTA(R5:R13)</f>
        <v>2</v>
      </c>
      <c r="S15" s="53">
        <f>COUNTA(S5:S13)</f>
        <v>1</v>
      </c>
      <c r="T15" s="66">
        <f>SUM(P15:S15)</f>
        <v>7</v>
      </c>
      <c r="U15" s="251"/>
      <c r="V15" s="66">
        <f>SUM(W15:Z15)</f>
        <v>6</v>
      </c>
      <c r="W15" s="53">
        <f>COUNTA(W5:W13)</f>
        <v>2</v>
      </c>
      <c r="X15" s="53">
        <f>COUNTA(X5:X13)</f>
        <v>2</v>
      </c>
      <c r="Y15" s="53">
        <f>COUNTA(Y5:Y13)</f>
        <v>1</v>
      </c>
      <c r="Z15" s="53">
        <f>COUNTA(Z5:Z13)</f>
        <v>1</v>
      </c>
      <c r="AA15" s="248"/>
      <c r="AB15" s="67" t="s">
        <v>4</v>
      </c>
      <c r="AC15" s="53">
        <f>COUNTA(AC5:AC13)</f>
        <v>2</v>
      </c>
      <c r="AD15" s="53">
        <f>COUNTA(AD5:AD13)</f>
        <v>2</v>
      </c>
      <c r="AE15" s="53">
        <f>COUNTA(AE5:AE13)</f>
        <v>1</v>
      </c>
      <c r="AF15" s="53">
        <f>COUNTA(AF5:AF13)</f>
        <v>1</v>
      </c>
      <c r="AG15" s="66">
        <f>SUM(AC15:AF15)</f>
        <v>6</v>
      </c>
      <c r="AH15" s="251"/>
      <c r="AI15" s="66">
        <f>SUM(AJ15:AM15)</f>
        <v>5</v>
      </c>
      <c r="AJ15" s="53">
        <f>COUNTA(AJ5:AJ13)</f>
        <v>2</v>
      </c>
      <c r="AK15" s="53">
        <f>COUNTA(AK5:AK13)</f>
        <v>1</v>
      </c>
      <c r="AL15" s="53">
        <f>COUNTA(AL5:AL13)</f>
        <v>1</v>
      </c>
      <c r="AM15" s="53">
        <f>COUNTA(AM5:AM13)</f>
        <v>1</v>
      </c>
      <c r="AN15" s="248"/>
      <c r="AO15" s="67" t="s">
        <v>4</v>
      </c>
      <c r="AP15" s="53">
        <f>COUNTA(AP5:AP13)</f>
        <v>2</v>
      </c>
      <c r="AQ15" s="53">
        <f>COUNTA(AQ5:AQ13)</f>
        <v>2</v>
      </c>
      <c r="AR15" s="53">
        <f>COUNTA(AR5:AR13)</f>
        <v>2</v>
      </c>
      <c r="AS15" s="53">
        <f>COUNTA(AS5:AS13)</f>
        <v>2</v>
      </c>
      <c r="AT15" s="66">
        <f>SUM(AP15:AS15)</f>
        <v>8</v>
      </c>
      <c r="AU15" s="251"/>
      <c r="AV15" s="66">
        <f>SUM(AW15:AZ15)</f>
        <v>7</v>
      </c>
      <c r="AW15" s="53">
        <f>COUNTA(AW5:AW13)</f>
        <v>2</v>
      </c>
      <c r="AX15" s="53">
        <f>COUNTA(AX5:AX13)</f>
        <v>2</v>
      </c>
      <c r="AY15" s="53">
        <f>COUNTA(AY5:AY13)</f>
        <v>2</v>
      </c>
      <c r="AZ15" s="53">
        <f>COUNTA(AZ5:AZ13)</f>
        <v>1</v>
      </c>
      <c r="BA15" s="249"/>
      <c r="BB15" s="542" t="s">
        <v>4</v>
      </c>
      <c r="BC15" s="532">
        <f>COUNTA(BC5:BC13)</f>
        <v>2</v>
      </c>
      <c r="BD15" s="532">
        <f>COUNTA(BD5:BD13)</f>
        <v>2</v>
      </c>
      <c r="BE15" s="532">
        <f>COUNTA(BE5:BE13)</f>
        <v>2</v>
      </c>
      <c r="BF15" s="532">
        <f>COUNTA(BF5:BF13)</f>
        <v>1</v>
      </c>
      <c r="BG15" s="541">
        <f>SUM(BC15:BF15)</f>
        <v>7</v>
      </c>
      <c r="BH15" s="607"/>
      <c r="BI15" s="541">
        <f>SUM(BJ15:BM15)</f>
        <v>6</v>
      </c>
      <c r="BJ15" s="532">
        <f>COUNTA(BJ5:BJ13)</f>
        <v>2</v>
      </c>
      <c r="BK15" s="532">
        <f>COUNTA(BK5:BK13)</f>
        <v>2</v>
      </c>
      <c r="BL15" s="532">
        <f>COUNTA(BL5:BL13)</f>
        <v>1</v>
      </c>
      <c r="BM15" s="532">
        <f>COUNTA(BM5:BM13)</f>
        <v>1</v>
      </c>
      <c r="BN15" s="605"/>
      <c r="BO15" s="542" t="s">
        <v>4</v>
      </c>
      <c r="BP15" s="532">
        <f>COUNTA(BP5:BP13)</f>
        <v>2</v>
      </c>
      <c r="BQ15" s="532">
        <f>COUNTA(BQ5:BQ13)</f>
        <v>2</v>
      </c>
      <c r="BR15" s="532">
        <f>COUNTA(BR5:BR13)</f>
        <v>1</v>
      </c>
      <c r="BS15" s="532">
        <f>COUNTA(BS5:BS13)</f>
        <v>1</v>
      </c>
      <c r="BT15" s="541">
        <f>SUM(BP15:BS15)</f>
        <v>6</v>
      </c>
      <c r="BU15" s="607"/>
      <c r="BV15" s="541">
        <f>SUM(BW15:BZ15)</f>
        <v>5</v>
      </c>
      <c r="BW15" s="532">
        <f>COUNTA(BW5:BW13)</f>
        <v>2</v>
      </c>
      <c r="BX15" s="532">
        <f>COUNTA(BX5:BX13)</f>
        <v>1</v>
      </c>
      <c r="BY15" s="532">
        <f>COUNTA(BY5:BY13)</f>
        <v>1</v>
      </c>
      <c r="BZ15" s="532">
        <f>COUNTA(BZ5:BZ13)</f>
        <v>1</v>
      </c>
      <c r="CA15" s="605"/>
      <c r="CB15" s="542" t="s">
        <v>4</v>
      </c>
      <c r="CC15" s="532">
        <f>COUNTA(CC5:CC13)</f>
        <v>2</v>
      </c>
      <c r="CD15" s="532">
        <f>COUNTA(CD5:CD13)</f>
        <v>2</v>
      </c>
      <c r="CE15" s="532">
        <f>COUNTA(CE5:CE13)</f>
        <v>1</v>
      </c>
      <c r="CF15" s="532">
        <f>COUNTA(CF5:CF13)</f>
        <v>1</v>
      </c>
      <c r="CG15" s="541">
        <f>SUM(CC15:CF15)</f>
        <v>6</v>
      </c>
      <c r="CH15" s="607"/>
      <c r="CI15" s="541">
        <f>SUM(CJ15:CM15)</f>
        <v>5</v>
      </c>
      <c r="CJ15" s="532">
        <f>COUNTA(CJ5:CJ13)</f>
        <v>2</v>
      </c>
      <c r="CK15" s="532">
        <f>COUNTA(CK5:CK13)</f>
        <v>1</v>
      </c>
      <c r="CL15" s="532">
        <f>COUNTA(CL5:CL13)</f>
        <v>1</v>
      </c>
      <c r="CM15" s="532">
        <f>COUNTA(CM5:CM13)</f>
        <v>1</v>
      </c>
      <c r="CN15" s="605"/>
    </row>
    <row r="16" spans="1:92" ht="15">
      <c r="A16" s="1537"/>
      <c r="B16" s="61"/>
      <c r="C16" s="68"/>
      <c r="D16" s="69"/>
      <c r="E16" s="69"/>
      <c r="F16" s="69"/>
      <c r="G16" s="70"/>
      <c r="H16" s="248"/>
      <c r="I16" s="70"/>
      <c r="J16" s="69"/>
      <c r="K16" s="71"/>
      <c r="L16" s="71"/>
      <c r="M16" s="69"/>
      <c r="N16" s="248"/>
      <c r="O16" s="64" t="s">
        <v>6</v>
      </c>
      <c r="P16" s="65">
        <f>P15-COUNT(P5:P13)</f>
        <v>0</v>
      </c>
      <c r="Q16" s="65">
        <f>Q15-COUNT(Q5:Q13)</f>
        <v>0</v>
      </c>
      <c r="R16" s="65">
        <f>R15-COUNT(R5:R13)</f>
        <v>0</v>
      </c>
      <c r="S16" s="65">
        <f>S15-COUNT(S5:S13)</f>
        <v>0</v>
      </c>
      <c r="T16" s="66">
        <f>SUM(P16:S16)</f>
        <v>0</v>
      </c>
      <c r="U16" s="251"/>
      <c r="V16" s="66">
        <f>SUM(W16:Z16)</f>
        <v>1</v>
      </c>
      <c r="W16" s="52">
        <f>W15-COUNT(W5:W13)</f>
        <v>1</v>
      </c>
      <c r="X16" s="52">
        <f>X15-COUNT(X5:X13)</f>
        <v>0</v>
      </c>
      <c r="Y16" s="52">
        <f>Y15-COUNT(Y5:Y13)</f>
        <v>0</v>
      </c>
      <c r="Z16" s="52">
        <f>Z15-COUNT(Z5:Z13)</f>
        <v>0</v>
      </c>
      <c r="AA16" s="248"/>
      <c r="AB16" s="64" t="s">
        <v>6</v>
      </c>
      <c r="AC16" s="52">
        <f>AC15-COUNT(AC5:AC13)</f>
        <v>0</v>
      </c>
      <c r="AD16" s="52">
        <f>AD15-COUNT(AD5:AD13)</f>
        <v>0</v>
      </c>
      <c r="AE16" s="52">
        <f>AE15-COUNT(AE5:AE13)</f>
        <v>0</v>
      </c>
      <c r="AF16" s="52">
        <f>AF15-COUNT(AF5:AF13)</f>
        <v>0</v>
      </c>
      <c r="AG16" s="66">
        <f>SUM(AC16:AF16)</f>
        <v>0</v>
      </c>
      <c r="AH16" s="251"/>
      <c r="AI16" s="66">
        <f>SUM(AJ16:AM16)</f>
        <v>1</v>
      </c>
      <c r="AJ16" s="52">
        <f>AJ15-COUNT(AJ5:AJ13)</f>
        <v>0</v>
      </c>
      <c r="AK16" s="65">
        <f>AK15-COUNT(AK5:AK13)</f>
        <v>0</v>
      </c>
      <c r="AL16" s="65">
        <f>AL15-COUNT(AL5:AL13)</f>
        <v>0</v>
      </c>
      <c r="AM16" s="52">
        <f>AM15-COUNT(AM5:AM13)</f>
        <v>1</v>
      </c>
      <c r="AN16" s="248"/>
      <c r="AO16" s="64" t="s">
        <v>6</v>
      </c>
      <c r="AP16" s="65">
        <f>AP15-COUNT(AP5:AP13)</f>
        <v>0</v>
      </c>
      <c r="AQ16" s="65">
        <f>AQ15-COUNT(AQ5:AQ13)</f>
        <v>1</v>
      </c>
      <c r="AR16" s="65">
        <f>AR15-COUNT(AR5:AR13)</f>
        <v>0</v>
      </c>
      <c r="AS16" s="65">
        <f>AS15-COUNT(AS5:AS13)</f>
        <v>0</v>
      </c>
      <c r="AT16" s="66">
        <f>SUM(AP16:AS16)</f>
        <v>1</v>
      </c>
      <c r="AU16" s="251"/>
      <c r="AV16" s="66">
        <f>SUM(AW16:AZ16)</f>
        <v>1</v>
      </c>
      <c r="AW16" s="52">
        <f>AW15-COUNT(AW5:AW13)</f>
        <v>0</v>
      </c>
      <c r="AX16" s="52">
        <f>AX15-COUNT(AX5:AX13)</f>
        <v>0</v>
      </c>
      <c r="AY16" s="52">
        <f>AY15-COUNT(AY5:AY13)</f>
        <v>1</v>
      </c>
      <c r="AZ16" s="52">
        <f>AZ15-COUNT(AZ5:AZ13)</f>
        <v>0</v>
      </c>
      <c r="BA16" s="249"/>
      <c r="BB16" s="539" t="s">
        <v>6</v>
      </c>
      <c r="BC16" s="540">
        <f>BC15-COUNT(BC5:BC13)</f>
        <v>0</v>
      </c>
      <c r="BD16" s="540">
        <f>BD15-COUNT(BD5:BD13)</f>
        <v>1</v>
      </c>
      <c r="BE16" s="540">
        <f>BE15-COUNT(BE5:BE13)</f>
        <v>0</v>
      </c>
      <c r="BF16" s="540">
        <f>BF15-COUNT(BF5:BF13)</f>
        <v>0</v>
      </c>
      <c r="BG16" s="541">
        <f>SUM(BC16:BF16)</f>
        <v>1</v>
      </c>
      <c r="BH16" s="607"/>
      <c r="BI16" s="541">
        <f>SUM(BJ16:BM16)</f>
        <v>1</v>
      </c>
      <c r="BJ16" s="531">
        <f>BJ15-COUNT(BJ5:BJ13)</f>
        <v>0</v>
      </c>
      <c r="BK16" s="531">
        <f>BK15-COUNT(BK5:BK13)</f>
        <v>1</v>
      </c>
      <c r="BL16" s="531">
        <f>BL15-COUNT(BL5:BL13)</f>
        <v>0</v>
      </c>
      <c r="BM16" s="531">
        <f>BM15-COUNT(BM5:BM13)</f>
        <v>0</v>
      </c>
      <c r="BN16" s="605"/>
      <c r="BO16" s="539" t="s">
        <v>6</v>
      </c>
      <c r="BP16" s="540">
        <f>BP15-COUNT(BP5:BP13)</f>
        <v>0</v>
      </c>
      <c r="BQ16" s="540">
        <f>BQ15-COUNT(BQ5:BQ13)</f>
        <v>0</v>
      </c>
      <c r="BR16" s="540">
        <f>BR15-COUNT(BR5:BR13)</f>
        <v>0</v>
      </c>
      <c r="BS16" s="540">
        <f>BS15-COUNT(BS5:BS13)</f>
        <v>0</v>
      </c>
      <c r="BT16" s="541">
        <f>SUM(BP16:BS16)</f>
        <v>0</v>
      </c>
      <c r="BU16" s="607"/>
      <c r="BV16" s="541">
        <f>SUM(BW16:BZ16)</f>
        <v>2</v>
      </c>
      <c r="BW16" s="531">
        <f>BW15-COUNT(BW5:BW13)</f>
        <v>1</v>
      </c>
      <c r="BX16" s="531">
        <f>BX15-COUNT(BX5:BX13)</f>
        <v>0</v>
      </c>
      <c r="BY16" s="531">
        <f>BY15-COUNT(BY5:BY13)</f>
        <v>1</v>
      </c>
      <c r="BZ16" s="531">
        <f>BZ15-COUNT(BZ5:BZ13)</f>
        <v>0</v>
      </c>
      <c r="CA16" s="605"/>
      <c r="CB16" s="539" t="s">
        <v>6</v>
      </c>
      <c r="CC16" s="540">
        <f>CC15-COUNT(CC5:CC13)</f>
        <v>0</v>
      </c>
      <c r="CD16" s="540">
        <f>CD15-COUNT(CD5:CD13)</f>
        <v>0</v>
      </c>
      <c r="CE16" s="540">
        <f>CE15-COUNT(CE5:CE13)</f>
        <v>0</v>
      </c>
      <c r="CF16" s="540">
        <f>CF15-COUNT(CF5:CF13)</f>
        <v>0</v>
      </c>
      <c r="CG16" s="541">
        <f>SUM(CC16:CF16)</f>
        <v>0</v>
      </c>
      <c r="CH16" s="607"/>
      <c r="CI16" s="541">
        <f>SUM(CJ16:CM16)</f>
        <v>1</v>
      </c>
      <c r="CJ16" s="531">
        <f>CJ15-COUNT(CJ5:CJ13)</f>
        <v>0</v>
      </c>
      <c r="CK16" s="531">
        <f>CK15-COUNT(CK5:CK13)</f>
        <v>1</v>
      </c>
      <c r="CL16" s="531">
        <f>CL15-COUNT(CL5:CL13)</f>
        <v>0</v>
      </c>
      <c r="CM16" s="531">
        <f>CM15-COUNT(CM5:CM13)</f>
        <v>0</v>
      </c>
      <c r="CN16" s="605"/>
    </row>
    <row r="17" spans="1:92" ht="15">
      <c r="A17" s="1537"/>
      <c r="B17" s="61"/>
      <c r="C17" s="76"/>
      <c r="D17" s="76"/>
      <c r="E17" s="76"/>
      <c r="F17" s="76"/>
      <c r="G17" s="77"/>
      <c r="H17" s="248"/>
      <c r="I17" s="77"/>
      <c r="J17" s="76"/>
      <c r="K17" s="76"/>
      <c r="L17" s="76"/>
      <c r="M17" s="78"/>
      <c r="N17" s="248"/>
      <c r="O17" s="64" t="s">
        <v>12</v>
      </c>
      <c r="P17" s="72">
        <f>P16/P15</f>
        <v>0</v>
      </c>
      <c r="Q17" s="73">
        <f>Q16/Q15</f>
        <v>0</v>
      </c>
      <c r="R17" s="73">
        <f>R16/R15</f>
        <v>0</v>
      </c>
      <c r="S17" s="73">
        <f>S16/S15</f>
        <v>0</v>
      </c>
      <c r="T17" s="74">
        <f>T16/T15</f>
        <v>0</v>
      </c>
      <c r="U17" s="251"/>
      <c r="V17" s="74">
        <f>V16/V15</f>
        <v>0.16666666666666666</v>
      </c>
      <c r="W17" s="72">
        <f>W16/W15</f>
        <v>0.5</v>
      </c>
      <c r="X17" s="72">
        <f>X16/X15</f>
        <v>0</v>
      </c>
      <c r="Y17" s="72">
        <f>Y16/Y15</f>
        <v>0</v>
      </c>
      <c r="Z17" s="72">
        <f>Z16/Z15</f>
        <v>0</v>
      </c>
      <c r="AA17" s="248"/>
      <c r="AB17" s="64" t="s">
        <v>12</v>
      </c>
      <c r="AC17" s="75">
        <f>AC16/AC15</f>
        <v>0</v>
      </c>
      <c r="AD17" s="72">
        <f>AD16/AD15</f>
        <v>0</v>
      </c>
      <c r="AE17" s="72">
        <f>AE16/AE15</f>
        <v>0</v>
      </c>
      <c r="AF17" s="72">
        <f>AF16/AF15</f>
        <v>0</v>
      </c>
      <c r="AG17" s="74">
        <f>AG16/AG15</f>
        <v>0</v>
      </c>
      <c r="AH17" s="251"/>
      <c r="AI17" s="74">
        <f>AI16/AI15</f>
        <v>0.2</v>
      </c>
      <c r="AJ17" s="72">
        <f>AJ16/AJ15</f>
        <v>0</v>
      </c>
      <c r="AK17" s="73">
        <f>AK16/AK15</f>
        <v>0</v>
      </c>
      <c r="AL17" s="73">
        <f>AL16/AL15</f>
        <v>0</v>
      </c>
      <c r="AM17" s="72">
        <f>AM16/AM15</f>
        <v>1</v>
      </c>
      <c r="AN17" s="248"/>
      <c r="AO17" s="64" t="s">
        <v>12</v>
      </c>
      <c r="AP17" s="72">
        <f>AP16/AP15</f>
        <v>0</v>
      </c>
      <c r="AQ17" s="73">
        <f>AQ16/AQ15</f>
        <v>0.5</v>
      </c>
      <c r="AR17" s="73">
        <f>AR16/AR15</f>
        <v>0</v>
      </c>
      <c r="AS17" s="73">
        <f>AS16/AS15</f>
        <v>0</v>
      </c>
      <c r="AT17" s="74">
        <f>AT16/AT15</f>
        <v>0.125</v>
      </c>
      <c r="AU17" s="251"/>
      <c r="AV17" s="74">
        <f>AV16/AV15</f>
        <v>0.14285714285714285</v>
      </c>
      <c r="AW17" s="72">
        <f>AW16/AW15</f>
        <v>0</v>
      </c>
      <c r="AX17" s="72">
        <f>AX16/AX15</f>
        <v>0</v>
      </c>
      <c r="AY17" s="72">
        <f>AY16/AY15</f>
        <v>0.5</v>
      </c>
      <c r="AZ17" s="72">
        <f>AZ16/AZ15</f>
        <v>0</v>
      </c>
      <c r="BA17" s="249"/>
      <c r="BB17" s="539" t="s">
        <v>12</v>
      </c>
      <c r="BC17" s="546">
        <f>BC16/BC15</f>
        <v>0</v>
      </c>
      <c r="BD17" s="547">
        <f>BD16/BD15</f>
        <v>0.5</v>
      </c>
      <c r="BE17" s="547">
        <f>BE16/BE15</f>
        <v>0</v>
      </c>
      <c r="BF17" s="547">
        <f>BF16/BF15</f>
        <v>0</v>
      </c>
      <c r="BG17" s="548">
        <f>BG16/BG15</f>
        <v>0.14285714285714285</v>
      </c>
      <c r="BH17" s="607"/>
      <c r="BI17" s="548">
        <f>BI16/BI15</f>
        <v>0.16666666666666666</v>
      </c>
      <c r="BJ17" s="546">
        <f>BJ16/BJ15</f>
        <v>0</v>
      </c>
      <c r="BK17" s="546">
        <f>BK16/BK15</f>
        <v>0.5</v>
      </c>
      <c r="BL17" s="546">
        <f>BL16/BL15</f>
        <v>0</v>
      </c>
      <c r="BM17" s="546">
        <f>BM16/BM15</f>
        <v>0</v>
      </c>
      <c r="BN17" s="605"/>
      <c r="BO17" s="539" t="s">
        <v>12</v>
      </c>
      <c r="BP17" s="546">
        <f>BP16/BP15</f>
        <v>0</v>
      </c>
      <c r="BQ17" s="547">
        <f>BQ16/BQ15</f>
        <v>0</v>
      </c>
      <c r="BR17" s="547">
        <f>BR16/BR15</f>
        <v>0</v>
      </c>
      <c r="BS17" s="547">
        <f>BS16/BS15</f>
        <v>0</v>
      </c>
      <c r="BT17" s="548">
        <f>BT16/BT15</f>
        <v>0</v>
      </c>
      <c r="BU17" s="607"/>
      <c r="BV17" s="548">
        <f>BV16/BV15</f>
        <v>0.4</v>
      </c>
      <c r="BW17" s="546">
        <f>BW16/BW15</f>
        <v>0.5</v>
      </c>
      <c r="BX17" s="546">
        <f>BX16/BX15</f>
        <v>0</v>
      </c>
      <c r="BY17" s="546">
        <f>BY16/BY15</f>
        <v>1</v>
      </c>
      <c r="BZ17" s="546">
        <f>BZ16/BZ15</f>
        <v>0</v>
      </c>
      <c r="CA17" s="605"/>
      <c r="CB17" s="539" t="s">
        <v>12</v>
      </c>
      <c r="CC17" s="546">
        <f>CC16/CC15</f>
        <v>0</v>
      </c>
      <c r="CD17" s="547">
        <f>CD16/CD15</f>
        <v>0</v>
      </c>
      <c r="CE17" s="547">
        <f>CE16/CE15</f>
        <v>0</v>
      </c>
      <c r="CF17" s="547">
        <f>CF16/CF15</f>
        <v>0</v>
      </c>
      <c r="CG17" s="548">
        <f>CG16/CG15</f>
        <v>0</v>
      </c>
      <c r="CH17" s="607"/>
      <c r="CI17" s="548">
        <f>CI16/CI15</f>
        <v>0.2</v>
      </c>
      <c r="CJ17" s="546">
        <f>CJ16/CJ15</f>
        <v>0</v>
      </c>
      <c r="CK17" s="546">
        <f>CK16/CK15</f>
        <v>1</v>
      </c>
      <c r="CL17" s="546">
        <f>CL16/CL15</f>
        <v>0</v>
      </c>
      <c r="CM17" s="546">
        <f>CM16/CM15</f>
        <v>0</v>
      </c>
      <c r="CN17" s="605"/>
    </row>
    <row r="18" spans="1:92" ht="15">
      <c r="A18" s="1537"/>
      <c r="B18" s="61"/>
      <c r="C18" s="82"/>
      <c r="D18" s="82"/>
      <c r="E18" s="82"/>
      <c r="F18" s="82"/>
      <c r="G18" s="83"/>
      <c r="H18" s="248"/>
      <c r="I18" s="83"/>
      <c r="J18" s="82"/>
      <c r="K18" s="76"/>
      <c r="L18" s="76"/>
      <c r="M18" s="78"/>
      <c r="N18" s="248"/>
      <c r="O18" s="64" t="s">
        <v>5</v>
      </c>
      <c r="P18" s="79">
        <f>P14/P15</f>
        <v>7.5</v>
      </c>
      <c r="Q18" s="80">
        <f>Q14/Q15</f>
        <v>9</v>
      </c>
      <c r="R18" s="79">
        <f>R14/R15</f>
        <v>3</v>
      </c>
      <c r="S18" s="79">
        <f>S14/S15</f>
        <v>11</v>
      </c>
      <c r="T18" s="81">
        <f>T14/T15</f>
        <v>7.1428571428571432</v>
      </c>
      <c r="U18" s="251"/>
      <c r="V18" s="81">
        <f>V14/V15</f>
        <v>7</v>
      </c>
      <c r="W18" s="79">
        <f>W14/W15</f>
        <v>5.5</v>
      </c>
      <c r="X18" s="79">
        <f>X14/X15</f>
        <v>6.5</v>
      </c>
      <c r="Y18" s="79">
        <f>Y14/Y15</f>
        <v>11</v>
      </c>
      <c r="Z18" s="79">
        <f>Z14/Z15</f>
        <v>7</v>
      </c>
      <c r="AA18" s="248"/>
      <c r="AB18" s="64" t="s">
        <v>5</v>
      </c>
      <c r="AC18" s="79">
        <f>AC14/AC15</f>
        <v>9.5</v>
      </c>
      <c r="AD18" s="79">
        <f>AD14/AD15</f>
        <v>9.5</v>
      </c>
      <c r="AE18" s="79">
        <f>AE14/AE15</f>
        <v>6</v>
      </c>
      <c r="AF18" s="79">
        <f>AF14/AF15</f>
        <v>6</v>
      </c>
      <c r="AG18" s="81">
        <f>AG14/AG15</f>
        <v>8.3333333333333339</v>
      </c>
      <c r="AH18" s="251"/>
      <c r="AI18" s="81">
        <f>AI14/AI15</f>
        <v>4.8</v>
      </c>
      <c r="AJ18" s="79">
        <f>AJ14/AJ15</f>
        <v>6</v>
      </c>
      <c r="AK18" s="79">
        <f>AK14/AK15</f>
        <v>7</v>
      </c>
      <c r="AL18" s="79">
        <f>AL14/AL15</f>
        <v>5</v>
      </c>
      <c r="AM18" s="80">
        <f>AM14/AM15</f>
        <v>0</v>
      </c>
      <c r="AN18" s="248"/>
      <c r="AO18" s="64" t="s">
        <v>5</v>
      </c>
      <c r="AP18" s="79">
        <f>AP14/AP15</f>
        <v>10</v>
      </c>
      <c r="AQ18" s="80">
        <f>AQ14/AQ15</f>
        <v>5</v>
      </c>
      <c r="AR18" s="80">
        <f>AR14/AR15</f>
        <v>4</v>
      </c>
      <c r="AS18" s="79">
        <f>AS14/AS15</f>
        <v>6</v>
      </c>
      <c r="AT18" s="81">
        <f>AT14/AT15</f>
        <v>6.25</v>
      </c>
      <c r="AU18" s="251"/>
      <c r="AV18" s="81">
        <f>AV14/AV15</f>
        <v>5</v>
      </c>
      <c r="AW18" s="79">
        <f>AW14/AW15</f>
        <v>5</v>
      </c>
      <c r="AX18" s="79">
        <f>AX14/AX15</f>
        <v>8.5</v>
      </c>
      <c r="AY18" s="79">
        <f>AY14/AY15</f>
        <v>3</v>
      </c>
      <c r="AZ18" s="79">
        <f>AZ14/AZ15</f>
        <v>2</v>
      </c>
      <c r="BA18" s="249"/>
      <c r="BB18" s="539" t="s">
        <v>5</v>
      </c>
      <c r="BC18" s="553">
        <f>BC14/BC15</f>
        <v>8</v>
      </c>
      <c r="BD18" s="554">
        <f>BD14/BD15</f>
        <v>4.5</v>
      </c>
      <c r="BE18" s="554">
        <f>BE14/BE15</f>
        <v>7.5</v>
      </c>
      <c r="BF18" s="553">
        <f>BF14/BF15</f>
        <v>10</v>
      </c>
      <c r="BG18" s="555">
        <f>BG14/BG15</f>
        <v>7.1428571428571432</v>
      </c>
      <c r="BH18" s="607"/>
      <c r="BI18" s="555">
        <f>BI14/BI15</f>
        <v>6.833333333333333</v>
      </c>
      <c r="BJ18" s="553">
        <f>BJ14/BJ15</f>
        <v>10.5</v>
      </c>
      <c r="BK18" s="553">
        <f>BK14/BK15</f>
        <v>2</v>
      </c>
      <c r="BL18" s="553">
        <f>BL14/BL15</f>
        <v>6</v>
      </c>
      <c r="BM18" s="553">
        <f>BM14/BM15</f>
        <v>10</v>
      </c>
      <c r="BN18" s="605"/>
      <c r="BO18" s="539" t="s">
        <v>5</v>
      </c>
      <c r="BP18" s="553">
        <f>BP14/BP15</f>
        <v>8</v>
      </c>
      <c r="BQ18" s="554">
        <f>BQ14/BQ15</f>
        <v>7</v>
      </c>
      <c r="BR18" s="554">
        <f>BR14/BR15</f>
        <v>10</v>
      </c>
      <c r="BS18" s="553">
        <f>BS14/BS15</f>
        <v>10</v>
      </c>
      <c r="BT18" s="555">
        <f>BT14/BT15</f>
        <v>8.3333333333333339</v>
      </c>
      <c r="BU18" s="607"/>
      <c r="BV18" s="555">
        <f>BV14/BV15</f>
        <v>3</v>
      </c>
      <c r="BW18" s="553">
        <f>BW14/BW15</f>
        <v>2.5</v>
      </c>
      <c r="BX18" s="553">
        <f>BX14/BX15</f>
        <v>6</v>
      </c>
      <c r="BY18" s="553">
        <f>BY14/BY15</f>
        <v>0</v>
      </c>
      <c r="BZ18" s="553">
        <f>BZ14/BZ15</f>
        <v>4</v>
      </c>
      <c r="CA18" s="605"/>
      <c r="CB18" s="539" t="s">
        <v>5</v>
      </c>
      <c r="CC18" s="553">
        <f>CC14/CC15</f>
        <v>9.5</v>
      </c>
      <c r="CD18" s="554">
        <f>CD14/CD15</f>
        <v>8.5</v>
      </c>
      <c r="CE18" s="554">
        <f>CE14/CE15</f>
        <v>7</v>
      </c>
      <c r="CF18" s="553">
        <f>CF14/CF15</f>
        <v>7</v>
      </c>
      <c r="CG18" s="555">
        <f>CG14/CG15</f>
        <v>8.3333333333333339</v>
      </c>
      <c r="CH18" s="607"/>
      <c r="CI18" s="555">
        <f>CI14/CI15</f>
        <v>6</v>
      </c>
      <c r="CJ18" s="553">
        <f>CJ14/CJ15</f>
        <v>9.5</v>
      </c>
      <c r="CK18" s="553">
        <f>CK14/CK15</f>
        <v>0</v>
      </c>
      <c r="CL18" s="553">
        <f>CL14/CL15</f>
        <v>5</v>
      </c>
      <c r="CM18" s="553">
        <f>CM14/CM15</f>
        <v>6</v>
      </c>
      <c r="CN18" s="605"/>
    </row>
    <row r="19" spans="1:92" ht="15">
      <c r="A19" s="1537"/>
      <c r="B19" s="50"/>
      <c r="C19" s="34"/>
      <c r="D19" s="250"/>
      <c r="E19" s="250"/>
      <c r="F19" s="34"/>
      <c r="G19" s="250"/>
      <c r="H19" s="248"/>
      <c r="I19" s="248"/>
      <c r="J19" s="248"/>
      <c r="K19" s="248"/>
      <c r="L19" s="248"/>
      <c r="M19" s="248"/>
      <c r="N19" s="248"/>
      <c r="O19" s="64" t="s">
        <v>8</v>
      </c>
      <c r="P19" s="79">
        <f>P14/(P15-P16)</f>
        <v>7.5</v>
      </c>
      <c r="Q19" s="80">
        <f>Q14/(Q15-Q16)</f>
        <v>9</v>
      </c>
      <c r="R19" s="84">
        <f>R14/(R15-R16)</f>
        <v>3</v>
      </c>
      <c r="S19" s="84">
        <f>S14/(S15-S16)</f>
        <v>11</v>
      </c>
      <c r="T19" s="85">
        <f>T14/(T15-T16)</f>
        <v>7.1428571428571432</v>
      </c>
      <c r="U19" s="251"/>
      <c r="V19" s="85">
        <f>V14/(V15-V16)</f>
        <v>8.4</v>
      </c>
      <c r="W19" s="84">
        <f>W14/(W15-W16)</f>
        <v>11</v>
      </c>
      <c r="X19" s="84">
        <f>X14/(X15-X16)</f>
        <v>6.5</v>
      </c>
      <c r="Y19" s="84">
        <f>Y14/(Y15-Y16)</f>
        <v>11</v>
      </c>
      <c r="Z19" s="84">
        <f>Z14/(Z15-Z16)</f>
        <v>7</v>
      </c>
      <c r="AA19" s="248"/>
      <c r="AB19" s="64" t="s">
        <v>8</v>
      </c>
      <c r="AC19" s="84">
        <f>AC14/(AC15-AC16)</f>
        <v>9.5</v>
      </c>
      <c r="AD19" s="84">
        <f>AD14/(AD15-AD16)</f>
        <v>9.5</v>
      </c>
      <c r="AE19" s="84">
        <f>AE14/(AE15-AE16)</f>
        <v>6</v>
      </c>
      <c r="AF19" s="84">
        <f>AF14/(AF15-AF16)</f>
        <v>6</v>
      </c>
      <c r="AG19" s="85">
        <f>AG14/(AG15-AG16)</f>
        <v>8.3333333333333339</v>
      </c>
      <c r="AH19" s="251"/>
      <c r="AI19" s="85">
        <f>AI14/(AI15-AI16)</f>
        <v>6</v>
      </c>
      <c r="AJ19" s="84">
        <f>AJ14/(AJ15-AJ16)</f>
        <v>6</v>
      </c>
      <c r="AK19" s="79">
        <f>AK14/(AK15-AK16)</f>
        <v>7</v>
      </c>
      <c r="AL19" s="79">
        <f>AL14/(AL15-AL16)</f>
        <v>5</v>
      </c>
      <c r="AM19" s="671">
        <v>0</v>
      </c>
      <c r="AN19" s="248"/>
      <c r="AO19" s="64" t="s">
        <v>8</v>
      </c>
      <c r="AP19" s="79">
        <f>AP14/(AP15-AP16)</f>
        <v>10</v>
      </c>
      <c r="AQ19" s="80">
        <f>AQ14/(AQ15-AQ16)</f>
        <v>10</v>
      </c>
      <c r="AR19" s="80">
        <f>AR14/(AR15-AR16)</f>
        <v>4</v>
      </c>
      <c r="AS19" s="84">
        <f>AS14/(AS15-AS16)</f>
        <v>6</v>
      </c>
      <c r="AT19" s="85">
        <f>AT14/(AT15-AT16)</f>
        <v>7.1428571428571432</v>
      </c>
      <c r="AU19" s="251"/>
      <c r="AV19" s="85">
        <f>AV14/(AV15-AV16)</f>
        <v>5.833333333333333</v>
      </c>
      <c r="AW19" s="84">
        <f>AW14/(AW15-AW16)</f>
        <v>5</v>
      </c>
      <c r="AX19" s="84">
        <f>AX14/(AX15-AX16)</f>
        <v>8.5</v>
      </c>
      <c r="AY19" s="84">
        <f>AY14/(AY15-AY16)</f>
        <v>6</v>
      </c>
      <c r="AZ19" s="84">
        <f>AZ14/(AZ15-AZ16)</f>
        <v>2</v>
      </c>
      <c r="BA19" s="249"/>
      <c r="BB19" s="539" t="s">
        <v>8</v>
      </c>
      <c r="BC19" s="553">
        <f>BC14/(BC15-BC16)</f>
        <v>8</v>
      </c>
      <c r="BD19" s="554">
        <f>BD14/(BD15-BD16)</f>
        <v>9</v>
      </c>
      <c r="BE19" s="554">
        <f>BE14/(BE15-BE16)</f>
        <v>7.5</v>
      </c>
      <c r="BF19" s="558">
        <f>BF14/(BF15-BF16)</f>
        <v>10</v>
      </c>
      <c r="BG19" s="559">
        <f>BG14/(BG15-BG16)</f>
        <v>8.3333333333333339</v>
      </c>
      <c r="BH19" s="607"/>
      <c r="BI19" s="559">
        <f>BI14/(BI15-BI16)</f>
        <v>8.1999999999999993</v>
      </c>
      <c r="BJ19" s="558">
        <f>BJ14/(BJ15-BJ16)</f>
        <v>10.5</v>
      </c>
      <c r="BK19" s="558">
        <f>BK14/(BK15-BK16)</f>
        <v>4</v>
      </c>
      <c r="BL19" s="558">
        <f>BL14/(BL15-BL16)</f>
        <v>6</v>
      </c>
      <c r="BM19" s="558">
        <f>BM14/(BM15-BM16)</f>
        <v>10</v>
      </c>
      <c r="BN19" s="605"/>
      <c r="BO19" s="539" t="s">
        <v>8</v>
      </c>
      <c r="BP19" s="553">
        <f>BP14/(BP15-BP16)</f>
        <v>8</v>
      </c>
      <c r="BQ19" s="554">
        <f>BQ14/(BQ15-BQ16)</f>
        <v>7</v>
      </c>
      <c r="BR19" s="554">
        <f>BR14/(BR15-BR16)</f>
        <v>10</v>
      </c>
      <c r="BS19" s="558">
        <f>BS14/(BS15-BS16)</f>
        <v>10</v>
      </c>
      <c r="BT19" s="559">
        <f>BT14/(BT15-BT16)</f>
        <v>8.3333333333333339</v>
      </c>
      <c r="BU19" s="607"/>
      <c r="BV19" s="559">
        <f>BV14/(BV15-BV16)</f>
        <v>5</v>
      </c>
      <c r="BW19" s="558">
        <f>BW14/(BW15-BW16)</f>
        <v>5</v>
      </c>
      <c r="BX19" s="558">
        <f>BX14/(BX15-BX16)</f>
        <v>6</v>
      </c>
      <c r="BY19" s="660">
        <v>0</v>
      </c>
      <c r="BZ19" s="558">
        <f>BZ14/(BZ15-BZ16)</f>
        <v>4</v>
      </c>
      <c r="CA19" s="605"/>
      <c r="CB19" s="539" t="s">
        <v>8</v>
      </c>
      <c r="CC19" s="553">
        <f>CC14/(CC15-CC16)</f>
        <v>9.5</v>
      </c>
      <c r="CD19" s="554">
        <f>CD14/(CD15-CD16)</f>
        <v>8.5</v>
      </c>
      <c r="CE19" s="554">
        <f>CE14/(CE15-CE16)</f>
        <v>7</v>
      </c>
      <c r="CF19" s="558">
        <f>CF14/(CF15-CF16)</f>
        <v>7</v>
      </c>
      <c r="CG19" s="559">
        <f>CG14/(CG15-CG16)</f>
        <v>8.3333333333333339</v>
      </c>
      <c r="CH19" s="607"/>
      <c r="CI19" s="559">
        <f>CI14/(CI15-CI16)</f>
        <v>7.5</v>
      </c>
      <c r="CJ19" s="558">
        <f>CJ14/(CJ15-CJ16)</f>
        <v>9.5</v>
      </c>
      <c r="CK19" s="660">
        <v>0</v>
      </c>
      <c r="CL19" s="558">
        <f>CL14/(CL15-CL16)</f>
        <v>5</v>
      </c>
      <c r="CM19" s="558">
        <f>CM14/(CM15-CM16)</f>
        <v>6</v>
      </c>
      <c r="CN19" s="605"/>
    </row>
    <row r="20" spans="1:92" ht="15">
      <c r="A20" s="261"/>
      <c r="B20" s="50"/>
      <c r="C20" s="34"/>
      <c r="D20" s="250"/>
      <c r="E20" s="250"/>
      <c r="F20" s="34"/>
      <c r="G20" s="250"/>
      <c r="H20" s="248"/>
      <c r="I20" s="248"/>
      <c r="J20" s="248"/>
      <c r="K20" s="248"/>
      <c r="L20" s="248"/>
      <c r="M20" s="248"/>
      <c r="N20" s="248"/>
      <c r="O20" s="50"/>
      <c r="P20" s="34"/>
      <c r="Q20" s="250"/>
      <c r="R20" s="34"/>
      <c r="S20" s="34"/>
      <c r="T20" s="248"/>
      <c r="U20" s="248"/>
      <c r="V20" s="248"/>
      <c r="W20" s="248"/>
      <c r="X20" s="248"/>
      <c r="Y20" s="248"/>
      <c r="Z20" s="248"/>
      <c r="AA20" s="248"/>
      <c r="AB20" s="248"/>
      <c r="AC20" s="248"/>
      <c r="AD20" s="248"/>
      <c r="AE20" s="248"/>
      <c r="AF20" s="248"/>
      <c r="AG20" s="248"/>
      <c r="AH20" s="248"/>
      <c r="AI20" s="248"/>
      <c r="AJ20" s="248"/>
      <c r="AK20" s="248"/>
      <c r="AL20" s="248"/>
      <c r="AM20" s="248"/>
      <c r="AN20" s="248"/>
      <c r="AO20" s="248"/>
      <c r="AP20" s="248"/>
      <c r="AQ20" s="248"/>
      <c r="AR20" s="248"/>
      <c r="AS20" s="248"/>
      <c r="AT20" s="248"/>
      <c r="AU20" s="248"/>
      <c r="AV20" s="248"/>
      <c r="AW20" s="248"/>
      <c r="AX20" s="248"/>
      <c r="AY20" s="248"/>
      <c r="AZ20" s="248"/>
      <c r="BA20" s="249"/>
      <c r="BB20" s="604"/>
      <c r="BC20" s="604"/>
      <c r="BD20" s="604"/>
      <c r="BE20" s="604"/>
      <c r="BF20" s="604"/>
      <c r="BG20" s="604"/>
      <c r="BH20" s="604"/>
      <c r="BI20" s="604"/>
      <c r="BJ20" s="604"/>
      <c r="BK20" s="604"/>
      <c r="BL20" s="604"/>
      <c r="BM20" s="604"/>
      <c r="BN20" s="605"/>
      <c r="BO20" s="604"/>
      <c r="BP20" s="604"/>
      <c r="BQ20" s="604"/>
      <c r="BR20" s="604"/>
      <c r="BS20" s="604"/>
      <c r="BT20" s="604"/>
      <c r="BU20" s="604"/>
      <c r="BV20" s="604"/>
      <c r="BW20" s="604"/>
      <c r="BX20" s="604"/>
      <c r="BY20" s="604"/>
      <c r="BZ20" s="604"/>
      <c r="CA20" s="605"/>
      <c r="CB20" s="604"/>
      <c r="CC20" s="604"/>
      <c r="CD20" s="604"/>
      <c r="CE20" s="604"/>
      <c r="CF20" s="604"/>
      <c r="CG20" s="604"/>
      <c r="CH20" s="604"/>
      <c r="CI20" s="604"/>
      <c r="CJ20" s="604"/>
      <c r="CK20" s="604"/>
      <c r="CL20" s="604"/>
      <c r="CM20" s="604"/>
      <c r="CN20" s="605"/>
    </row>
    <row r="21" spans="1:92">
      <c r="A21" s="1537" t="s">
        <v>103</v>
      </c>
      <c r="B21" s="40"/>
      <c r="C21" s="1536" t="s">
        <v>103</v>
      </c>
      <c r="D21" s="1536"/>
      <c r="E21" s="1536"/>
      <c r="F21" s="1536"/>
      <c r="G21" s="251"/>
      <c r="H21" s="251"/>
      <c r="I21" s="251"/>
      <c r="J21" s="1535" t="s">
        <v>117</v>
      </c>
      <c r="K21" s="1535"/>
      <c r="L21" s="1535"/>
      <c r="M21" s="1535"/>
      <c r="N21" s="248"/>
      <c r="O21" s="50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51"/>
      <c r="AC21" s="1536" t="s">
        <v>103</v>
      </c>
      <c r="AD21" s="1536"/>
      <c r="AE21" s="1536"/>
      <c r="AF21" s="1536"/>
      <c r="AG21" s="251"/>
      <c r="AH21" s="251"/>
      <c r="AI21" s="251"/>
      <c r="AJ21" s="1535" t="s">
        <v>97</v>
      </c>
      <c r="AK21" s="1535"/>
      <c r="AL21" s="1535"/>
      <c r="AM21" s="1535"/>
      <c r="AN21" s="248"/>
      <c r="AO21" s="251"/>
      <c r="AP21" s="1536" t="s">
        <v>103</v>
      </c>
      <c r="AQ21" s="1536"/>
      <c r="AR21" s="1536"/>
      <c r="AS21" s="1536"/>
      <c r="AT21" s="251"/>
      <c r="AU21" s="251"/>
      <c r="AV21" s="251"/>
      <c r="AW21" s="1535" t="s">
        <v>130</v>
      </c>
      <c r="AX21" s="1535"/>
      <c r="AY21" s="1535"/>
      <c r="AZ21" s="1535"/>
      <c r="BA21" s="249"/>
      <c r="BB21" s="607"/>
      <c r="BC21" s="1536" t="s">
        <v>103</v>
      </c>
      <c r="BD21" s="1536"/>
      <c r="BE21" s="1536"/>
      <c r="BF21" s="1536"/>
      <c r="BG21" s="607"/>
      <c r="BH21" s="607"/>
      <c r="BI21" s="607"/>
      <c r="BJ21" s="1535" t="s">
        <v>143</v>
      </c>
      <c r="BK21" s="1535"/>
      <c r="BL21" s="1535"/>
      <c r="BM21" s="1535"/>
      <c r="BN21" s="605"/>
      <c r="BO21" s="607"/>
      <c r="BP21" s="1536" t="s">
        <v>103</v>
      </c>
      <c r="BQ21" s="1536"/>
      <c r="BR21" s="1536"/>
      <c r="BS21" s="1536"/>
      <c r="BT21" s="607"/>
      <c r="BU21" s="607"/>
      <c r="BV21" s="607"/>
      <c r="BW21" s="1535" t="s">
        <v>105</v>
      </c>
      <c r="BX21" s="1535"/>
      <c r="BY21" s="1535"/>
      <c r="BZ21" s="1535"/>
      <c r="CA21" s="605"/>
      <c r="CB21" s="607"/>
      <c r="CC21" s="1536" t="s">
        <v>103</v>
      </c>
      <c r="CD21" s="1536"/>
      <c r="CE21" s="1536"/>
      <c r="CF21" s="1536"/>
      <c r="CG21" s="607"/>
      <c r="CH21" s="607"/>
      <c r="CI21" s="607"/>
      <c r="CJ21" s="1535" t="s">
        <v>112</v>
      </c>
      <c r="CK21" s="1535"/>
      <c r="CL21" s="1535"/>
      <c r="CM21" s="1535"/>
      <c r="CN21" s="605"/>
    </row>
    <row r="22" spans="1:92" ht="15">
      <c r="A22" s="1537"/>
      <c r="B22" s="40"/>
      <c r="C22" s="560">
        <v>1</v>
      </c>
      <c r="D22" s="561">
        <v>2</v>
      </c>
      <c r="E22" s="562">
        <v>3</v>
      </c>
      <c r="F22" s="566">
        <v>4</v>
      </c>
      <c r="G22" s="41">
        <f>IF(COUNTIF(G24:G34,"&gt;37")=0,0,COUNTIF(G24:G34,"&gt;37")-1)</f>
        <v>2</v>
      </c>
      <c r="H22" s="251"/>
      <c r="I22" s="41">
        <f>IF(COUNTIF(I24:I34,"&gt;37")=0,0,COUNTIF(I24:I34,"&gt;37")-1)</f>
        <v>0</v>
      </c>
      <c r="J22" s="568">
        <v>1</v>
      </c>
      <c r="K22" s="569">
        <v>2</v>
      </c>
      <c r="L22" s="570">
        <v>3</v>
      </c>
      <c r="M22" s="603">
        <v>4</v>
      </c>
      <c r="N22" s="248"/>
      <c r="O22" s="50"/>
      <c r="P22" s="34"/>
      <c r="Q22" s="250"/>
      <c r="R22" s="34"/>
      <c r="S22" s="34"/>
      <c r="T22" s="38"/>
      <c r="U22" s="248"/>
      <c r="V22" s="38"/>
      <c r="W22" s="39"/>
      <c r="X22" s="39"/>
      <c r="Y22" s="39"/>
      <c r="Z22" s="39"/>
      <c r="AA22" s="248"/>
      <c r="AB22" s="40"/>
      <c r="AC22" s="86">
        <v>1</v>
      </c>
      <c r="AD22" s="87">
        <v>2</v>
      </c>
      <c r="AE22" s="88">
        <v>3</v>
      </c>
      <c r="AF22" s="246">
        <v>4</v>
      </c>
      <c r="AG22" s="41">
        <f>IF(COUNTIF(AG24:AG34,"&gt;37")=0,0,COUNTIF(AG24:AG34,"&gt;37")-1)</f>
        <v>1</v>
      </c>
      <c r="AH22" s="251"/>
      <c r="AI22" s="41">
        <f>IF(COUNTIF(AI24:AI34,"&gt;37")=0,0,COUNTIF(AI24:AI34,"&gt;37")-1)</f>
        <v>0</v>
      </c>
      <c r="AJ22" s="92">
        <v>1</v>
      </c>
      <c r="AK22" s="93">
        <v>2</v>
      </c>
      <c r="AL22" s="94">
        <v>3</v>
      </c>
      <c r="AM22" s="245">
        <v>4</v>
      </c>
      <c r="AN22" s="248"/>
      <c r="AO22" s="40"/>
      <c r="AP22" s="86">
        <v>1</v>
      </c>
      <c r="AQ22" s="87">
        <v>2</v>
      </c>
      <c r="AR22" s="88">
        <v>3</v>
      </c>
      <c r="AS22" s="246">
        <v>4</v>
      </c>
      <c r="AT22" s="41">
        <f>IF(COUNTIF(AT24:AT34,"&gt;37")=0,0,COUNTIF(AT24:AT34,"&gt;37")-1)</f>
        <v>3</v>
      </c>
      <c r="AU22" s="251"/>
      <c r="AV22" s="41">
        <f>IF(COUNTIF(AV24:AV34,"&gt;37")=0,0,COUNTIF(AV24:AV34,"&gt;37")-1)</f>
        <v>0</v>
      </c>
      <c r="AW22" s="92">
        <v>1</v>
      </c>
      <c r="AX22" s="93">
        <v>2</v>
      </c>
      <c r="AY22" s="94">
        <v>3</v>
      </c>
      <c r="AZ22" s="245">
        <v>4</v>
      </c>
      <c r="BA22" s="249"/>
      <c r="BB22" s="522"/>
      <c r="BC22" s="560">
        <v>1</v>
      </c>
      <c r="BD22" s="561">
        <v>2</v>
      </c>
      <c r="BE22" s="562">
        <v>3</v>
      </c>
      <c r="BF22" s="566">
        <v>4</v>
      </c>
      <c r="BG22" s="523">
        <f>IF(COUNTIF(BG24:BG34,"&gt;37")=0,0,COUNTIF(BG24:BG34,"&gt;37")-1)</f>
        <v>1</v>
      </c>
      <c r="BH22" s="607"/>
      <c r="BI22" s="486">
        <v>0</v>
      </c>
      <c r="BJ22" s="568">
        <v>1</v>
      </c>
      <c r="BK22" s="569">
        <v>2</v>
      </c>
      <c r="BL22" s="570">
        <v>3</v>
      </c>
      <c r="BM22" s="603">
        <v>4</v>
      </c>
      <c r="BN22" s="605"/>
      <c r="BO22" s="522"/>
      <c r="BP22" s="560">
        <v>1</v>
      </c>
      <c r="BQ22" s="561">
        <v>2</v>
      </c>
      <c r="BR22" s="562">
        <v>3</v>
      </c>
      <c r="BS22" s="566">
        <v>4</v>
      </c>
      <c r="BT22" s="523">
        <f>IF(COUNTIF(BT24:BT34,"&gt;37")=0,0,COUNTIF(BT24:BT34,"&gt;37")-1)</f>
        <v>1</v>
      </c>
      <c r="BU22" s="607"/>
      <c r="BV22" s="523">
        <f>IF(COUNTIF(BV24:BV34,"&gt;37")=0,0,COUNTIF(BV24:BV34,"&gt;37")-1)</f>
        <v>0</v>
      </c>
      <c r="BW22" s="568">
        <v>1</v>
      </c>
      <c r="BX22" s="569">
        <v>2</v>
      </c>
      <c r="BY22" s="570">
        <v>3</v>
      </c>
      <c r="BZ22" s="603">
        <v>4</v>
      </c>
      <c r="CA22" s="605"/>
      <c r="CB22" s="522"/>
      <c r="CC22" s="560">
        <v>1</v>
      </c>
      <c r="CD22" s="561">
        <v>2</v>
      </c>
      <c r="CE22" s="562">
        <v>3</v>
      </c>
      <c r="CF22" s="566">
        <v>4</v>
      </c>
      <c r="CG22" s="523">
        <f>IF(COUNTIF(CG24:CG34,"&gt;37")=0,0,COUNTIF(CG24:CG34,"&gt;37")-1)</f>
        <v>1</v>
      </c>
      <c r="CH22" s="607"/>
      <c r="CI22" s="523">
        <f>IF(COUNTIF(CI24:CI34,"&gt;37")=0,0,COUNTIF(CI24:CI34,"&gt;37")-1)</f>
        <v>0</v>
      </c>
      <c r="CJ22" s="568">
        <v>1</v>
      </c>
      <c r="CK22" s="569">
        <v>2</v>
      </c>
      <c r="CL22" s="570">
        <v>3</v>
      </c>
      <c r="CM22" s="603">
        <v>4</v>
      </c>
      <c r="CN22" s="605"/>
    </row>
    <row r="23" spans="1:92" ht="57">
      <c r="A23" s="1537"/>
      <c r="B23" s="40"/>
      <c r="C23" s="475" t="s">
        <v>1</v>
      </c>
      <c r="D23" s="475" t="s">
        <v>104</v>
      </c>
      <c r="E23" s="475" t="s">
        <v>53</v>
      </c>
      <c r="F23" s="475" t="s">
        <v>96</v>
      </c>
      <c r="G23" s="49"/>
      <c r="H23" s="254"/>
      <c r="I23" s="255"/>
      <c r="J23" s="571" t="s">
        <v>119</v>
      </c>
      <c r="K23" s="571" t="s">
        <v>120</v>
      </c>
      <c r="L23" s="571" t="s">
        <v>121</v>
      </c>
      <c r="M23" s="571" t="s">
        <v>118</v>
      </c>
      <c r="N23" s="252"/>
      <c r="O23" s="50"/>
      <c r="P23" s="34"/>
      <c r="Q23" s="250"/>
      <c r="R23" s="34"/>
      <c r="S23" s="34"/>
      <c r="T23" s="252"/>
      <c r="U23" s="252"/>
      <c r="V23" s="252"/>
      <c r="W23" s="46"/>
      <c r="X23" s="45"/>
      <c r="Y23" s="45"/>
      <c r="Z23" s="253"/>
      <c r="AA23" s="252"/>
      <c r="AB23" s="47"/>
      <c r="AC23" s="475" t="s">
        <v>1</v>
      </c>
      <c r="AD23" s="475" t="s">
        <v>104</v>
      </c>
      <c r="AE23" s="475" t="s">
        <v>53</v>
      </c>
      <c r="AF23" s="475" t="s">
        <v>96</v>
      </c>
      <c r="AG23" s="49"/>
      <c r="AH23" s="254"/>
      <c r="AI23" s="255"/>
      <c r="AJ23" s="592" t="s">
        <v>0</v>
      </c>
      <c r="AK23" s="592" t="s">
        <v>56</v>
      </c>
      <c r="AL23" s="592" t="s">
        <v>1</v>
      </c>
      <c r="AM23" s="592" t="s">
        <v>53</v>
      </c>
      <c r="AN23" s="252"/>
      <c r="AO23" s="47"/>
      <c r="AP23" s="48" t="s">
        <v>1</v>
      </c>
      <c r="AQ23" s="48" t="s">
        <v>104</v>
      </c>
      <c r="AR23" s="48" t="s">
        <v>53</v>
      </c>
      <c r="AS23" s="48" t="s">
        <v>96</v>
      </c>
      <c r="AT23" s="49"/>
      <c r="AU23" s="254"/>
      <c r="AV23" s="255"/>
      <c r="AW23" s="95" t="s">
        <v>101</v>
      </c>
      <c r="AX23" s="95" t="s">
        <v>99</v>
      </c>
      <c r="AY23" s="95" t="s">
        <v>113</v>
      </c>
      <c r="AZ23" s="95" t="s">
        <v>102</v>
      </c>
      <c r="BA23" s="249"/>
      <c r="BB23" s="526"/>
      <c r="BC23" s="527" t="s">
        <v>1</v>
      </c>
      <c r="BD23" s="527" t="s">
        <v>104</v>
      </c>
      <c r="BE23" s="527" t="s">
        <v>53</v>
      </c>
      <c r="BF23" s="527" t="s">
        <v>96</v>
      </c>
      <c r="BG23" s="528"/>
      <c r="BH23" s="610"/>
      <c r="BI23" s="611"/>
      <c r="BJ23" s="571" t="s">
        <v>54</v>
      </c>
      <c r="BK23" s="571" t="s">
        <v>149</v>
      </c>
      <c r="BL23" s="571" t="s">
        <v>115</v>
      </c>
      <c r="BM23" s="571" t="s">
        <v>116</v>
      </c>
      <c r="BN23" s="605"/>
      <c r="BO23" s="526"/>
      <c r="BP23" s="527" t="s">
        <v>1</v>
      </c>
      <c r="BQ23" s="527" t="s">
        <v>104</v>
      </c>
      <c r="BR23" s="527" t="s">
        <v>53</v>
      </c>
      <c r="BS23" s="527" t="s">
        <v>96</v>
      </c>
      <c r="BT23" s="528"/>
      <c r="BU23" s="610"/>
      <c r="BV23" s="611"/>
      <c r="BW23" s="592" t="s">
        <v>106</v>
      </c>
      <c r="BX23" s="592" t="s">
        <v>107</v>
      </c>
      <c r="BY23" s="592" t="s">
        <v>55</v>
      </c>
      <c r="BZ23" s="592" t="s">
        <v>108</v>
      </c>
      <c r="CA23" s="605"/>
      <c r="CB23" s="526"/>
      <c r="CC23" s="527" t="s">
        <v>1</v>
      </c>
      <c r="CD23" s="527" t="s">
        <v>104</v>
      </c>
      <c r="CE23" s="527" t="s">
        <v>53</v>
      </c>
      <c r="CF23" s="527" t="s">
        <v>96</v>
      </c>
      <c r="CG23" s="528"/>
      <c r="CH23" s="610"/>
      <c r="CI23" s="611"/>
      <c r="CJ23" s="571" t="s">
        <v>150</v>
      </c>
      <c r="CK23" s="571" t="s">
        <v>109</v>
      </c>
      <c r="CL23" s="571" t="s">
        <v>57</v>
      </c>
      <c r="CM23" s="571" t="s">
        <v>111</v>
      </c>
      <c r="CN23" s="605"/>
    </row>
    <row r="24" spans="1:92" ht="15">
      <c r="A24" s="1537"/>
      <c r="B24" s="51">
        <v>1</v>
      </c>
      <c r="C24" s="52">
        <v>12</v>
      </c>
      <c r="D24" s="53"/>
      <c r="E24" s="53"/>
      <c r="F24" s="173"/>
      <c r="G24" s="257">
        <f>SUM(C$24:F24)</f>
        <v>12</v>
      </c>
      <c r="H24" s="258">
        <f>G24-I24</f>
        <v>9</v>
      </c>
      <c r="I24" s="259">
        <f>SUM(J$24:M24)</f>
        <v>3</v>
      </c>
      <c r="J24" s="52">
        <v>3</v>
      </c>
      <c r="K24" s="53"/>
      <c r="L24" s="53"/>
      <c r="M24" s="173"/>
      <c r="N24" s="248"/>
      <c r="O24" s="50"/>
      <c r="P24" s="34"/>
      <c r="Q24" s="250"/>
      <c r="R24" s="34"/>
      <c r="S24" s="34"/>
      <c r="T24" s="256"/>
      <c r="U24" s="248"/>
      <c r="V24" s="256"/>
      <c r="W24" s="38"/>
      <c r="X24" s="34"/>
      <c r="Y24" s="34"/>
      <c r="Z24" s="34"/>
      <c r="AA24" s="248"/>
      <c r="AB24" s="51">
        <v>1</v>
      </c>
      <c r="AC24" s="531">
        <v>11</v>
      </c>
      <c r="AD24" s="532"/>
      <c r="AE24" s="532"/>
      <c r="AF24" s="563"/>
      <c r="AG24" s="257">
        <f>SUM(AC$24:AF24)</f>
        <v>11</v>
      </c>
      <c r="AH24" s="258">
        <f t="shared" ref="AH24:AH30" si="6">AG24-AI24</f>
        <v>9</v>
      </c>
      <c r="AI24" s="259">
        <f>SUM(AJ$24:AM24)</f>
        <v>2</v>
      </c>
      <c r="AJ24" s="574">
        <v>2</v>
      </c>
      <c r="AK24" s="532"/>
      <c r="AL24" s="532"/>
      <c r="AM24" s="563"/>
      <c r="AN24" s="248"/>
      <c r="AO24" s="51">
        <v>1</v>
      </c>
      <c r="AP24" s="52">
        <v>11</v>
      </c>
      <c r="AQ24" s="53"/>
      <c r="AR24" s="53"/>
      <c r="AS24" s="53"/>
      <c r="AT24" s="257">
        <f>SUM(AP$24:AS24)</f>
        <v>11</v>
      </c>
      <c r="AU24" s="258">
        <f>AT24-AV24</f>
        <v>9</v>
      </c>
      <c r="AV24" s="259">
        <f>SUM(AW$24:AZ24)</f>
        <v>2</v>
      </c>
      <c r="AW24" s="52">
        <v>2</v>
      </c>
      <c r="AX24" s="53"/>
      <c r="AY24" s="53"/>
      <c r="AZ24" s="53"/>
      <c r="BA24" s="249"/>
      <c r="BB24" s="530">
        <v>1</v>
      </c>
      <c r="BC24" s="531">
        <v>12</v>
      </c>
      <c r="BD24" s="532"/>
      <c r="BE24" s="532"/>
      <c r="BF24" s="532"/>
      <c r="BG24" s="613">
        <f>SUM(BC$24:BF24)</f>
        <v>12</v>
      </c>
      <c r="BH24" s="614">
        <f t="shared" ref="BH24:BH29" si="7">BG24-BI24</f>
        <v>6</v>
      </c>
      <c r="BI24" s="615">
        <f>SUM(BJ$24:BM24)</f>
        <v>6</v>
      </c>
      <c r="BJ24" s="531">
        <v>6</v>
      </c>
      <c r="BK24" s="532"/>
      <c r="BL24" s="532"/>
      <c r="BM24" s="532"/>
      <c r="BN24" s="605"/>
      <c r="BO24" s="530">
        <v>1</v>
      </c>
      <c r="BP24" s="531">
        <v>12</v>
      </c>
      <c r="BQ24" s="532"/>
      <c r="BR24" s="532"/>
      <c r="BS24" s="532"/>
      <c r="BT24" s="613">
        <f>SUM(BP$24:BS24)</f>
        <v>12</v>
      </c>
      <c r="BU24" s="614">
        <f t="shared" ref="BU24:BU29" si="8">BT24-BV24</f>
        <v>4</v>
      </c>
      <c r="BV24" s="615">
        <f>SUM(BW$24:BZ24)</f>
        <v>8</v>
      </c>
      <c r="BW24" s="531">
        <v>8</v>
      </c>
      <c r="BX24" s="532"/>
      <c r="BY24" s="532"/>
      <c r="BZ24" s="532"/>
      <c r="CA24" s="605"/>
      <c r="CB24" s="530">
        <v>1</v>
      </c>
      <c r="CC24" s="531">
        <v>11</v>
      </c>
      <c r="CD24" s="532"/>
      <c r="CE24" s="532"/>
      <c r="CF24" s="532"/>
      <c r="CG24" s="613">
        <f>SUM(CC$24:CF24)</f>
        <v>11</v>
      </c>
      <c r="CH24" s="614">
        <f t="shared" ref="CH24:CH29" si="9">CG24-CI24</f>
        <v>8</v>
      </c>
      <c r="CI24" s="615">
        <f>SUM(CJ$24:CM24)</f>
        <v>3</v>
      </c>
      <c r="CJ24" s="531">
        <v>3</v>
      </c>
      <c r="CK24" s="532"/>
      <c r="CL24" s="532"/>
      <c r="CM24" s="532"/>
      <c r="CN24" s="605"/>
    </row>
    <row r="25" spans="1:92" ht="15">
      <c r="A25" s="1537"/>
      <c r="B25" s="56">
        <v>2</v>
      </c>
      <c r="C25" s="53"/>
      <c r="D25" s="52">
        <v>8</v>
      </c>
      <c r="E25" s="53"/>
      <c r="F25" s="53"/>
      <c r="G25" s="257">
        <f>SUM(C$24:F25)</f>
        <v>20</v>
      </c>
      <c r="H25" s="258">
        <f t="shared" ref="H25:H30" si="10">G25-I25</f>
        <v>5</v>
      </c>
      <c r="I25" s="259">
        <f>SUM(J$24:M25)</f>
        <v>15</v>
      </c>
      <c r="J25" s="53"/>
      <c r="K25" s="52">
        <v>12</v>
      </c>
      <c r="L25" s="53"/>
      <c r="M25" s="53"/>
      <c r="N25" s="248"/>
      <c r="O25" s="50"/>
      <c r="P25" s="34"/>
      <c r="Q25" s="250"/>
      <c r="R25" s="34"/>
      <c r="S25" s="34"/>
      <c r="T25" s="256"/>
      <c r="U25" s="248"/>
      <c r="V25" s="256"/>
      <c r="W25" s="34"/>
      <c r="X25" s="38"/>
      <c r="Y25" s="38"/>
      <c r="Z25" s="34"/>
      <c r="AA25" s="248"/>
      <c r="AB25" s="56">
        <v>2</v>
      </c>
      <c r="AC25" s="532"/>
      <c r="AD25" s="531">
        <v>7</v>
      </c>
      <c r="AE25" s="532"/>
      <c r="AF25" s="532"/>
      <c r="AG25" s="257">
        <f>SUM(AC$24:AF25)</f>
        <v>18</v>
      </c>
      <c r="AH25" s="258">
        <f t="shared" si="6"/>
        <v>14</v>
      </c>
      <c r="AI25" s="259">
        <f>SUM(AJ$24:AM25)</f>
        <v>4</v>
      </c>
      <c r="AJ25" s="575"/>
      <c r="AK25" s="531">
        <v>2</v>
      </c>
      <c r="AL25" s="532"/>
      <c r="AM25" s="532"/>
      <c r="AN25" s="248"/>
      <c r="AO25" s="56">
        <v>2</v>
      </c>
      <c r="AP25" s="53"/>
      <c r="AQ25" s="52">
        <v>9</v>
      </c>
      <c r="AR25" s="52"/>
      <c r="AS25" s="53"/>
      <c r="AT25" s="257">
        <f>SUM(AP$24:AS25)</f>
        <v>20</v>
      </c>
      <c r="AU25" s="258">
        <f t="shared" ref="AU25:AU31" si="11">AT25-AV25</f>
        <v>9</v>
      </c>
      <c r="AV25" s="259">
        <f>SUM(AW$24:AZ25)</f>
        <v>11</v>
      </c>
      <c r="AW25" s="53"/>
      <c r="AX25" s="52">
        <v>9</v>
      </c>
      <c r="AY25" s="52"/>
      <c r="AZ25" s="53"/>
      <c r="BA25" s="249"/>
      <c r="BB25" s="533">
        <v>2</v>
      </c>
      <c r="BC25" s="532"/>
      <c r="BD25" s="531">
        <v>12</v>
      </c>
      <c r="BE25" s="531"/>
      <c r="BF25" s="532"/>
      <c r="BG25" s="613">
        <f>SUM(BC$24:BF25)</f>
        <v>24</v>
      </c>
      <c r="BH25" s="614">
        <f t="shared" si="7"/>
        <v>6</v>
      </c>
      <c r="BI25" s="615">
        <f>SUM(BJ$24:BM25)</f>
        <v>18</v>
      </c>
      <c r="BJ25" s="532"/>
      <c r="BK25" s="531">
        <v>12</v>
      </c>
      <c r="BL25" s="531"/>
      <c r="BM25" s="532"/>
      <c r="BN25" s="605"/>
      <c r="BO25" s="533">
        <v>2</v>
      </c>
      <c r="BP25" s="532"/>
      <c r="BQ25" s="531">
        <v>8</v>
      </c>
      <c r="BR25" s="531"/>
      <c r="BS25" s="532"/>
      <c r="BT25" s="613">
        <f>SUM(BP$24:BS25)</f>
        <v>20</v>
      </c>
      <c r="BU25" s="614">
        <f t="shared" si="8"/>
        <v>8</v>
      </c>
      <c r="BV25" s="615">
        <f>SUM(BW$24:BZ25)</f>
        <v>12</v>
      </c>
      <c r="BW25" s="532"/>
      <c r="BX25" s="531">
        <v>4</v>
      </c>
      <c r="BY25" s="531"/>
      <c r="BZ25" s="532"/>
      <c r="CA25" s="605"/>
      <c r="CB25" s="533">
        <v>2</v>
      </c>
      <c r="CC25" s="532"/>
      <c r="CD25" s="531">
        <v>12</v>
      </c>
      <c r="CE25" s="531"/>
      <c r="CF25" s="532"/>
      <c r="CG25" s="613">
        <f>SUM(CC$24:CF25)</f>
        <v>23</v>
      </c>
      <c r="CH25" s="614">
        <f t="shared" si="9"/>
        <v>8</v>
      </c>
      <c r="CI25" s="615">
        <f>SUM(CJ$24:CM25)</f>
        <v>15</v>
      </c>
      <c r="CJ25" s="532"/>
      <c r="CK25" s="531">
        <v>12</v>
      </c>
      <c r="CL25" s="531"/>
      <c r="CM25" s="532"/>
      <c r="CN25" s="605"/>
    </row>
    <row r="26" spans="1:92" ht="15">
      <c r="A26" s="1537"/>
      <c r="B26" s="56">
        <v>3</v>
      </c>
      <c r="C26" s="52"/>
      <c r="D26" s="53"/>
      <c r="E26" s="53">
        <v>12</v>
      </c>
      <c r="F26" s="173"/>
      <c r="G26" s="257">
        <f>SUM(C$24:F26)</f>
        <v>32</v>
      </c>
      <c r="H26" s="258">
        <f t="shared" si="10"/>
        <v>11</v>
      </c>
      <c r="I26" s="259">
        <f>SUM(J$24:M26)</f>
        <v>21</v>
      </c>
      <c r="J26" s="52"/>
      <c r="K26" s="53"/>
      <c r="L26" s="53">
        <v>6</v>
      </c>
      <c r="M26" s="173"/>
      <c r="N26" s="248"/>
      <c r="O26" s="50"/>
      <c r="P26" s="34"/>
      <c r="Q26" s="250"/>
      <c r="R26" s="34"/>
      <c r="S26" s="34"/>
      <c r="T26" s="256"/>
      <c r="U26" s="248"/>
      <c r="V26" s="256"/>
      <c r="W26" s="38"/>
      <c r="X26" s="34"/>
      <c r="Y26" s="34"/>
      <c r="Z26" s="34"/>
      <c r="AA26" s="248"/>
      <c r="AB26" s="56">
        <v>3</v>
      </c>
      <c r="AC26" s="531"/>
      <c r="AD26" s="532"/>
      <c r="AE26" s="532">
        <v>8</v>
      </c>
      <c r="AF26" s="563"/>
      <c r="AG26" s="257">
        <f>SUM(AC$24:AF26)</f>
        <v>26</v>
      </c>
      <c r="AH26" s="258">
        <f t="shared" si="6"/>
        <v>14</v>
      </c>
      <c r="AI26" s="259">
        <f>SUM(AJ$24:AM26)</f>
        <v>12</v>
      </c>
      <c r="AJ26" s="574"/>
      <c r="AK26" s="532"/>
      <c r="AL26" s="532">
        <v>8</v>
      </c>
      <c r="AM26" s="563"/>
      <c r="AN26" s="248"/>
      <c r="AO26" s="56">
        <v>3</v>
      </c>
      <c r="AP26" s="52"/>
      <c r="AQ26" s="53"/>
      <c r="AR26" s="53">
        <v>8</v>
      </c>
      <c r="AS26" s="53"/>
      <c r="AT26" s="257">
        <f>SUM(AP$24:AS26)</f>
        <v>28</v>
      </c>
      <c r="AU26" s="258">
        <f t="shared" si="11"/>
        <v>9</v>
      </c>
      <c r="AV26" s="259">
        <f>SUM(AW$24:AZ26)</f>
        <v>19</v>
      </c>
      <c r="AW26" s="52"/>
      <c r="AX26" s="53"/>
      <c r="AY26" s="53">
        <v>8</v>
      </c>
      <c r="AZ26" s="53"/>
      <c r="BA26" s="249"/>
      <c r="BB26" s="533">
        <v>3</v>
      </c>
      <c r="BC26" s="531"/>
      <c r="BD26" s="532"/>
      <c r="BE26" s="532">
        <v>12</v>
      </c>
      <c r="BF26" s="532"/>
      <c r="BG26" s="613">
        <f>SUM(BC$24:BF26)</f>
        <v>36</v>
      </c>
      <c r="BH26" s="614">
        <f t="shared" si="7"/>
        <v>13</v>
      </c>
      <c r="BI26" s="615">
        <f>SUM(BJ$24:BM26)</f>
        <v>23</v>
      </c>
      <c r="BJ26" s="531"/>
      <c r="BK26" s="532"/>
      <c r="BL26" s="532">
        <v>5</v>
      </c>
      <c r="BM26" s="532"/>
      <c r="BN26" s="605"/>
      <c r="BO26" s="533">
        <v>3</v>
      </c>
      <c r="BP26" s="531"/>
      <c r="BQ26" s="532"/>
      <c r="BR26" s="532">
        <v>10</v>
      </c>
      <c r="BS26" s="532"/>
      <c r="BT26" s="613">
        <f>SUM(BP$24:BS26)</f>
        <v>30</v>
      </c>
      <c r="BU26" s="614">
        <f t="shared" si="8"/>
        <v>16</v>
      </c>
      <c r="BV26" s="615">
        <f>SUM(BW$24:BZ26)</f>
        <v>14</v>
      </c>
      <c r="BW26" s="531"/>
      <c r="BX26" s="532"/>
      <c r="BY26" s="532">
        <v>2</v>
      </c>
      <c r="BZ26" s="532"/>
      <c r="CA26" s="605"/>
      <c r="CB26" s="533">
        <v>3</v>
      </c>
      <c r="CC26" s="531"/>
      <c r="CD26" s="532"/>
      <c r="CE26" s="532">
        <v>6</v>
      </c>
      <c r="CF26" s="532"/>
      <c r="CG26" s="613">
        <f>SUM(CC$24:CF26)</f>
        <v>29</v>
      </c>
      <c r="CH26" s="614">
        <f t="shared" si="9"/>
        <v>8</v>
      </c>
      <c r="CI26" s="615">
        <f>SUM(CJ$24:CM26)</f>
        <v>21</v>
      </c>
      <c r="CJ26" s="531"/>
      <c r="CK26" s="532"/>
      <c r="CL26" s="532">
        <v>6</v>
      </c>
      <c r="CM26" s="532"/>
      <c r="CN26" s="605"/>
    </row>
    <row r="27" spans="1:92" ht="15">
      <c r="A27" s="1537"/>
      <c r="B27" s="56">
        <v>4</v>
      </c>
      <c r="C27" s="53"/>
      <c r="D27" s="52"/>
      <c r="E27" s="53"/>
      <c r="F27" s="53">
        <v>3</v>
      </c>
      <c r="G27" s="257">
        <f>SUM(C$24:F27)</f>
        <v>35</v>
      </c>
      <c r="H27" s="258">
        <f t="shared" si="10"/>
        <v>14</v>
      </c>
      <c r="I27" s="259">
        <f>SUM(J$24:M27)</f>
        <v>21</v>
      </c>
      <c r="J27" s="53"/>
      <c r="K27" s="52"/>
      <c r="L27" s="53"/>
      <c r="M27" s="53" t="s">
        <v>2</v>
      </c>
      <c r="N27" s="248"/>
      <c r="O27" s="50"/>
      <c r="P27" s="34"/>
      <c r="Q27" s="250"/>
      <c r="R27" s="34"/>
      <c r="S27" s="34"/>
      <c r="T27" s="256"/>
      <c r="U27" s="248"/>
      <c r="V27" s="256"/>
      <c r="W27" s="34"/>
      <c r="X27" s="38"/>
      <c r="Y27" s="38"/>
      <c r="Z27" s="34"/>
      <c r="AA27" s="248"/>
      <c r="AB27" s="51">
        <v>4</v>
      </c>
      <c r="AC27" s="532"/>
      <c r="AD27" s="531"/>
      <c r="AE27" s="532"/>
      <c r="AF27" s="532">
        <v>5</v>
      </c>
      <c r="AG27" s="257">
        <f>SUM(AC$24:AF27)</f>
        <v>31</v>
      </c>
      <c r="AH27" s="258">
        <f t="shared" si="6"/>
        <v>11</v>
      </c>
      <c r="AI27" s="259">
        <f>SUM(AJ$24:AM27)</f>
        <v>20</v>
      </c>
      <c r="AJ27" s="575"/>
      <c r="AK27" s="531"/>
      <c r="AL27" s="532"/>
      <c r="AM27" s="532">
        <v>8</v>
      </c>
      <c r="AN27" s="248"/>
      <c r="AO27" s="51">
        <v>4</v>
      </c>
      <c r="AP27" s="53"/>
      <c r="AQ27" s="52"/>
      <c r="AR27" s="52"/>
      <c r="AS27" s="53" t="s">
        <v>2</v>
      </c>
      <c r="AT27" s="257">
        <f>SUM(AP$24:AS27)</f>
        <v>28</v>
      </c>
      <c r="AU27" s="258">
        <f t="shared" si="11"/>
        <v>9</v>
      </c>
      <c r="AV27" s="259">
        <f>SUM(AW$24:AZ27)</f>
        <v>19</v>
      </c>
      <c r="AW27" s="53"/>
      <c r="AX27" s="52"/>
      <c r="AY27" s="52"/>
      <c r="AZ27" s="53" t="s">
        <v>2</v>
      </c>
      <c r="BA27" s="249"/>
      <c r="BB27" s="530">
        <v>4</v>
      </c>
      <c r="BC27" s="532"/>
      <c r="BD27" s="531"/>
      <c r="BE27" s="531"/>
      <c r="BF27" s="532" t="s">
        <v>2</v>
      </c>
      <c r="BG27" s="613">
        <f>SUM(BC$24:BF27)</f>
        <v>36</v>
      </c>
      <c r="BH27" s="614">
        <f t="shared" si="7"/>
        <v>2</v>
      </c>
      <c r="BI27" s="615">
        <f>SUM(BJ$24:BM27)</f>
        <v>34</v>
      </c>
      <c r="BJ27" s="532"/>
      <c r="BK27" s="531"/>
      <c r="BL27" s="531"/>
      <c r="BM27" s="532">
        <v>11</v>
      </c>
      <c r="BN27" s="605"/>
      <c r="BO27" s="530">
        <v>4</v>
      </c>
      <c r="BP27" s="532"/>
      <c r="BQ27" s="531"/>
      <c r="BR27" s="531"/>
      <c r="BS27" s="532" t="s">
        <v>2</v>
      </c>
      <c r="BT27" s="613">
        <f>SUM(BP$24:BS27)</f>
        <v>30</v>
      </c>
      <c r="BU27" s="614">
        <f t="shared" si="8"/>
        <v>15</v>
      </c>
      <c r="BV27" s="615">
        <f>SUM(BW$24:BZ27)</f>
        <v>15</v>
      </c>
      <c r="BW27" s="532"/>
      <c r="BX27" s="531"/>
      <c r="BY27" s="531"/>
      <c r="BZ27" s="532">
        <v>1</v>
      </c>
      <c r="CA27" s="605"/>
      <c r="CB27" s="530">
        <v>4</v>
      </c>
      <c r="CC27" s="532"/>
      <c r="CD27" s="531"/>
      <c r="CE27" s="531"/>
      <c r="CF27" s="532">
        <v>3</v>
      </c>
      <c r="CG27" s="613">
        <f>SUM(CC$24:CF27)</f>
        <v>32</v>
      </c>
      <c r="CH27" s="614">
        <f t="shared" si="9"/>
        <v>11</v>
      </c>
      <c r="CI27" s="615">
        <f>SUM(CJ$24:CM27)</f>
        <v>21</v>
      </c>
      <c r="CJ27" s="532"/>
      <c r="CK27" s="531"/>
      <c r="CL27" s="531"/>
      <c r="CM27" s="532" t="s">
        <v>2</v>
      </c>
      <c r="CN27" s="605"/>
    </row>
    <row r="28" spans="1:92" ht="15">
      <c r="A28" s="1537"/>
      <c r="B28" s="56">
        <v>5</v>
      </c>
      <c r="C28" s="52">
        <v>7</v>
      </c>
      <c r="D28" s="53"/>
      <c r="E28" s="53"/>
      <c r="F28" s="173"/>
      <c r="G28" s="257">
        <f>SUM(C$24:F28)</f>
        <v>42</v>
      </c>
      <c r="H28" s="258">
        <f t="shared" si="10"/>
        <v>19</v>
      </c>
      <c r="I28" s="259">
        <f>SUM(J$24:M28)</f>
        <v>23</v>
      </c>
      <c r="J28" s="52">
        <v>2</v>
      </c>
      <c r="K28" s="53"/>
      <c r="L28" s="53"/>
      <c r="M28" s="173"/>
      <c r="N28" s="248"/>
      <c r="O28" s="50"/>
      <c r="P28" s="34"/>
      <c r="Q28" s="250"/>
      <c r="R28" s="34"/>
      <c r="S28" s="34"/>
      <c r="T28" s="256"/>
      <c r="U28" s="248"/>
      <c r="V28" s="256"/>
      <c r="W28" s="38"/>
      <c r="X28" s="34"/>
      <c r="Y28" s="34"/>
      <c r="Z28" s="34"/>
      <c r="AA28" s="248"/>
      <c r="AB28" s="56">
        <v>5</v>
      </c>
      <c r="AC28" s="531">
        <v>3</v>
      </c>
      <c r="AD28" s="532"/>
      <c r="AE28" s="532"/>
      <c r="AF28" s="563"/>
      <c r="AG28" s="257">
        <f>SUM(AC$24:AF28)</f>
        <v>34</v>
      </c>
      <c r="AH28" s="258">
        <f t="shared" si="6"/>
        <v>14</v>
      </c>
      <c r="AI28" s="259">
        <f>SUM(AJ$24:AM28)</f>
        <v>20</v>
      </c>
      <c r="AJ28" s="574" t="s">
        <v>2</v>
      </c>
      <c r="AK28" s="532"/>
      <c r="AL28" s="532"/>
      <c r="AM28" s="563"/>
      <c r="AN28" s="248"/>
      <c r="AO28" s="56">
        <v>5</v>
      </c>
      <c r="AP28" s="52" t="s">
        <v>2</v>
      </c>
      <c r="AQ28" s="53"/>
      <c r="AR28" s="53"/>
      <c r="AS28" s="53"/>
      <c r="AT28" s="257">
        <f>SUM(AP$24:AS28)</f>
        <v>28</v>
      </c>
      <c r="AU28" s="258">
        <f t="shared" si="11"/>
        <v>6</v>
      </c>
      <c r="AV28" s="259">
        <f>SUM(AW$24:AZ28)</f>
        <v>22</v>
      </c>
      <c r="AW28" s="52">
        <v>3</v>
      </c>
      <c r="AX28" s="53"/>
      <c r="AY28" s="53"/>
      <c r="AZ28" s="53"/>
      <c r="BA28" s="249"/>
      <c r="BB28" s="533">
        <v>5</v>
      </c>
      <c r="BC28" s="531">
        <v>2</v>
      </c>
      <c r="BD28" s="532"/>
      <c r="BE28" s="532"/>
      <c r="BF28" s="532"/>
      <c r="BG28" s="613">
        <f>SUM(BC$24:BF28)</f>
        <v>38</v>
      </c>
      <c r="BH28" s="614">
        <f t="shared" si="7"/>
        <v>-4</v>
      </c>
      <c r="BI28" s="615">
        <f>SUM(BJ$24:BM28)</f>
        <v>42</v>
      </c>
      <c r="BJ28" s="531">
        <v>8</v>
      </c>
      <c r="BK28" s="532"/>
      <c r="BL28" s="532"/>
      <c r="BM28" s="532"/>
      <c r="BN28" s="605"/>
      <c r="BO28" s="533">
        <v>5</v>
      </c>
      <c r="BP28" s="531">
        <v>10</v>
      </c>
      <c r="BQ28" s="532"/>
      <c r="BR28" s="532"/>
      <c r="BS28" s="532"/>
      <c r="BT28" s="613">
        <f>SUM(BP$24:BS28)</f>
        <v>40</v>
      </c>
      <c r="BU28" s="614">
        <f t="shared" si="8"/>
        <v>25</v>
      </c>
      <c r="BV28" s="615">
        <f>SUM(BW$24:BZ28)</f>
        <v>15</v>
      </c>
      <c r="BW28" s="531" t="s">
        <v>2</v>
      </c>
      <c r="BX28" s="532"/>
      <c r="BY28" s="532"/>
      <c r="BZ28" s="532"/>
      <c r="CA28" s="605"/>
      <c r="CB28" s="533">
        <v>5</v>
      </c>
      <c r="CC28" s="531">
        <v>6</v>
      </c>
      <c r="CD28" s="532"/>
      <c r="CE28" s="532"/>
      <c r="CF28" s="532"/>
      <c r="CG28" s="613">
        <f>SUM(CC$24:CF28)</f>
        <v>38</v>
      </c>
      <c r="CH28" s="614">
        <f t="shared" si="9"/>
        <v>11</v>
      </c>
      <c r="CI28" s="615">
        <f>SUM(CJ$24:CM28)</f>
        <v>27</v>
      </c>
      <c r="CJ28" s="531">
        <v>6</v>
      </c>
      <c r="CK28" s="532"/>
      <c r="CL28" s="532"/>
      <c r="CM28" s="532"/>
      <c r="CN28" s="605"/>
    </row>
    <row r="29" spans="1:92" ht="15">
      <c r="A29" s="1537"/>
      <c r="B29" s="56">
        <v>6</v>
      </c>
      <c r="C29" s="53"/>
      <c r="D29" s="52">
        <v>3</v>
      </c>
      <c r="E29" s="53"/>
      <c r="F29" s="53"/>
      <c r="G29" s="257">
        <f>SUM(C$24:F29)</f>
        <v>45</v>
      </c>
      <c r="H29" s="258">
        <f t="shared" si="10"/>
        <v>10</v>
      </c>
      <c r="I29" s="259">
        <f>SUM(J$24:M29)</f>
        <v>35</v>
      </c>
      <c r="J29" s="53"/>
      <c r="K29" s="52">
        <v>12</v>
      </c>
      <c r="L29" s="53"/>
      <c r="M29" s="53"/>
      <c r="N29" s="248"/>
      <c r="O29" s="50"/>
      <c r="P29" s="34"/>
      <c r="Q29" s="250"/>
      <c r="R29" s="34"/>
      <c r="S29" s="34"/>
      <c r="T29" s="256"/>
      <c r="U29" s="248"/>
      <c r="V29" s="256"/>
      <c r="W29" s="34"/>
      <c r="X29" s="38"/>
      <c r="Y29" s="38"/>
      <c r="Z29" s="34"/>
      <c r="AA29" s="248"/>
      <c r="AB29" s="530">
        <v>6</v>
      </c>
      <c r="AC29" s="532"/>
      <c r="AD29" s="532">
        <v>5</v>
      </c>
      <c r="AE29" s="532"/>
      <c r="AF29" s="532"/>
      <c r="AG29" s="613">
        <f>SUM(AC$24:AF29)</f>
        <v>39</v>
      </c>
      <c r="AH29" s="614">
        <f t="shared" si="6"/>
        <v>7</v>
      </c>
      <c r="AI29" s="615">
        <f>SUM(AJ$24:AM29)</f>
        <v>32</v>
      </c>
      <c r="AJ29" s="575"/>
      <c r="AK29" s="531">
        <v>12</v>
      </c>
      <c r="AL29" s="532"/>
      <c r="AM29" s="532"/>
      <c r="AN29" s="248"/>
      <c r="AO29" s="56">
        <v>6</v>
      </c>
      <c r="AP29" s="53"/>
      <c r="AQ29" s="643">
        <v>4</v>
      </c>
      <c r="AR29" s="52"/>
      <c r="AS29" s="53"/>
      <c r="AT29" s="257">
        <f>SUM(AP$24:AS29)</f>
        <v>32</v>
      </c>
      <c r="AU29" s="258">
        <f t="shared" si="11"/>
        <v>4</v>
      </c>
      <c r="AV29" s="259">
        <f>SUM(AW$24:AZ29)</f>
        <v>28</v>
      </c>
      <c r="AW29" s="53"/>
      <c r="AX29" s="52">
        <v>6</v>
      </c>
      <c r="AY29" s="52"/>
      <c r="AZ29" s="53"/>
      <c r="BA29" s="249"/>
      <c r="BB29" s="533">
        <v>6</v>
      </c>
      <c r="BC29" s="532"/>
      <c r="BD29" s="1427">
        <v>12</v>
      </c>
      <c r="BE29" s="531"/>
      <c r="BF29" s="532"/>
      <c r="BG29" s="613">
        <f>SUM(BC$24:BF29)</f>
        <v>50</v>
      </c>
      <c r="BH29" s="614">
        <f t="shared" si="7"/>
        <v>8</v>
      </c>
      <c r="BI29" s="615">
        <f>SUM(BJ$24:BM29)</f>
        <v>42</v>
      </c>
      <c r="BJ29" s="532"/>
      <c r="BK29" s="531"/>
      <c r="BL29" s="531"/>
      <c r="BM29" s="532"/>
      <c r="BN29" s="605"/>
      <c r="BO29" s="533">
        <v>6</v>
      </c>
      <c r="BP29" s="532"/>
      <c r="BQ29" s="1427">
        <v>10</v>
      </c>
      <c r="BR29" s="531"/>
      <c r="BS29" s="532"/>
      <c r="BT29" s="613">
        <f>SUM(BP$24:BS29)</f>
        <v>50</v>
      </c>
      <c r="BU29" s="614">
        <f t="shared" si="8"/>
        <v>35</v>
      </c>
      <c r="BV29" s="615">
        <f>SUM(BW$24:BZ29)</f>
        <v>15</v>
      </c>
      <c r="BW29" s="532"/>
      <c r="BX29" s="531"/>
      <c r="BY29" s="531"/>
      <c r="BZ29" s="532"/>
      <c r="CA29" s="605"/>
      <c r="CB29" s="533">
        <v>6</v>
      </c>
      <c r="CC29" s="532"/>
      <c r="CD29" s="1427">
        <v>12</v>
      </c>
      <c r="CE29" s="531"/>
      <c r="CF29" s="532"/>
      <c r="CG29" s="613">
        <f>SUM(CC$24:CF29)</f>
        <v>50</v>
      </c>
      <c r="CH29" s="614">
        <f t="shared" si="9"/>
        <v>23</v>
      </c>
      <c r="CI29" s="615">
        <f>SUM(CJ$24:CM29)</f>
        <v>27</v>
      </c>
      <c r="CJ29" s="532"/>
      <c r="CK29" s="531"/>
      <c r="CL29" s="531"/>
      <c r="CM29" s="532"/>
      <c r="CN29" s="605"/>
    </row>
    <row r="30" spans="1:92" ht="15">
      <c r="A30" s="1537"/>
      <c r="B30" s="56">
        <v>7</v>
      </c>
      <c r="C30" s="52"/>
      <c r="D30" s="53"/>
      <c r="E30" s="565">
        <v>5</v>
      </c>
      <c r="F30" s="173"/>
      <c r="G30" s="257">
        <f>SUM(C$24:F30)</f>
        <v>50</v>
      </c>
      <c r="H30" s="258">
        <f t="shared" si="10"/>
        <v>15</v>
      </c>
      <c r="I30" s="259">
        <f>SUM(J$24:M30)</f>
        <v>35</v>
      </c>
      <c r="J30" s="52"/>
      <c r="K30" s="53"/>
      <c r="L30" s="53"/>
      <c r="M30" s="173"/>
      <c r="N30" s="248"/>
      <c r="O30" s="50"/>
      <c r="P30" s="34"/>
      <c r="Q30" s="250"/>
      <c r="R30" s="34"/>
      <c r="S30" s="34"/>
      <c r="T30" s="256"/>
      <c r="U30" s="248"/>
      <c r="V30" s="256"/>
      <c r="W30" s="38"/>
      <c r="X30" s="34"/>
      <c r="Y30" s="34"/>
      <c r="Z30" s="34"/>
      <c r="AA30" s="248"/>
      <c r="AB30" s="533">
        <v>7</v>
      </c>
      <c r="AC30" s="531"/>
      <c r="AD30" s="532"/>
      <c r="AE30" s="565">
        <v>11</v>
      </c>
      <c r="AF30" s="563"/>
      <c r="AG30" s="613">
        <f>SUM(AC$24:AF30)</f>
        <v>50</v>
      </c>
      <c r="AH30" s="614">
        <f t="shared" si="6"/>
        <v>18</v>
      </c>
      <c r="AI30" s="615">
        <f>SUM(AJ$24:AM30)</f>
        <v>32</v>
      </c>
      <c r="AJ30" s="574"/>
      <c r="AK30" s="532"/>
      <c r="AL30" s="532"/>
      <c r="AM30" s="563"/>
      <c r="AN30" s="248"/>
      <c r="AO30" s="51">
        <v>7</v>
      </c>
      <c r="AP30" s="52"/>
      <c r="AQ30" s="53"/>
      <c r="AR30" s="53">
        <v>9</v>
      </c>
      <c r="AS30" s="53"/>
      <c r="AT30" s="257">
        <f>SUM(AP$24:AS30)</f>
        <v>41</v>
      </c>
      <c r="AU30" s="258">
        <f t="shared" si="11"/>
        <v>10</v>
      </c>
      <c r="AV30" s="259">
        <f>SUM(AW$24:AZ30)</f>
        <v>31</v>
      </c>
      <c r="AW30" s="52"/>
      <c r="AX30" s="53"/>
      <c r="AY30" s="53">
        <v>3</v>
      </c>
      <c r="AZ30" s="53"/>
      <c r="BA30" s="249"/>
      <c r="BB30" s="522"/>
      <c r="BC30" s="534"/>
      <c r="BD30" s="616"/>
      <c r="BE30" s="616"/>
      <c r="BF30" s="534"/>
      <c r="BG30" s="616"/>
      <c r="BH30" s="607"/>
      <c r="BI30" s="607"/>
      <c r="BJ30" s="534"/>
      <c r="BK30" s="616"/>
      <c r="BL30" s="616"/>
      <c r="BM30" s="534"/>
      <c r="BN30" s="605"/>
      <c r="BO30" s="522"/>
      <c r="BP30" s="534"/>
      <c r="BQ30" s="616"/>
      <c r="BR30" s="616"/>
      <c r="BS30" s="534"/>
      <c r="BT30" s="616"/>
      <c r="BU30" s="607"/>
      <c r="BV30" s="607"/>
      <c r="BW30" s="534"/>
      <c r="BX30" s="616"/>
      <c r="BY30" s="616"/>
      <c r="BZ30" s="534"/>
      <c r="CA30" s="605"/>
      <c r="CB30" s="522"/>
      <c r="CC30" s="534"/>
      <c r="CD30" s="616"/>
      <c r="CE30" s="616"/>
      <c r="CF30" s="534"/>
      <c r="CG30" s="616"/>
      <c r="CH30" s="607"/>
      <c r="CI30" s="607"/>
      <c r="CJ30" s="534"/>
      <c r="CK30" s="616"/>
      <c r="CL30" s="616"/>
      <c r="CM30" s="534"/>
      <c r="CN30" s="605"/>
    </row>
    <row r="31" spans="1:92" ht="15">
      <c r="A31" s="1537"/>
      <c r="B31" s="522"/>
      <c r="C31" s="534"/>
      <c r="D31" s="616"/>
      <c r="E31" s="616"/>
      <c r="F31" s="534"/>
      <c r="G31" s="616"/>
      <c r="H31" s="607"/>
      <c r="I31" s="607"/>
      <c r="J31" s="534"/>
      <c r="K31" s="616"/>
      <c r="L31" s="616"/>
      <c r="M31" s="534"/>
      <c r="N31" s="248"/>
      <c r="O31" s="50"/>
      <c r="P31" s="34"/>
      <c r="Q31" s="250"/>
      <c r="R31" s="34"/>
      <c r="S31" s="34"/>
      <c r="T31" s="256"/>
      <c r="U31" s="248"/>
      <c r="V31" s="256"/>
      <c r="W31" s="34"/>
      <c r="X31" s="38"/>
      <c r="Y31" s="38"/>
      <c r="Z31" s="34"/>
      <c r="AA31" s="248"/>
      <c r="AB31" s="522"/>
      <c r="AC31" s="534"/>
      <c r="AD31" s="616"/>
      <c r="AE31" s="616"/>
      <c r="AF31" s="534"/>
      <c r="AG31" s="616"/>
      <c r="AH31" s="607"/>
      <c r="AI31" s="607"/>
      <c r="AJ31" s="534"/>
      <c r="AK31" s="616"/>
      <c r="AL31" s="616"/>
      <c r="AM31" s="534"/>
      <c r="AN31" s="248"/>
      <c r="AO31" s="56">
        <v>8</v>
      </c>
      <c r="AP31" s="53"/>
      <c r="AQ31" s="90"/>
      <c r="AR31" s="90"/>
      <c r="AS31" s="53">
        <v>2</v>
      </c>
      <c r="AT31" s="257">
        <f>SUM(AP$24:AS31)</f>
        <v>43</v>
      </c>
      <c r="AU31" s="258">
        <f t="shared" si="11"/>
        <v>8</v>
      </c>
      <c r="AV31" s="259">
        <f>SUM(AW$24:AZ31)</f>
        <v>35</v>
      </c>
      <c r="AW31" s="53"/>
      <c r="AX31" s="52"/>
      <c r="AY31" s="52"/>
      <c r="AZ31" s="53">
        <v>4</v>
      </c>
      <c r="BA31" s="249"/>
      <c r="BB31" s="522"/>
      <c r="BC31" s="534"/>
      <c r="BD31" s="616"/>
      <c r="BE31" s="616"/>
      <c r="BF31" s="534"/>
      <c r="BG31" s="616"/>
      <c r="BH31" s="607"/>
      <c r="BI31" s="607"/>
      <c r="BJ31" s="534"/>
      <c r="BK31" s="616"/>
      <c r="BL31" s="616"/>
      <c r="BM31" s="534"/>
      <c r="BN31" s="605"/>
      <c r="BO31" s="522"/>
      <c r="BP31" s="534"/>
      <c r="BQ31" s="616"/>
      <c r="BR31" s="616"/>
      <c r="BS31" s="534"/>
      <c r="BT31" s="616"/>
      <c r="BU31" s="607"/>
      <c r="BV31" s="607"/>
      <c r="BW31" s="534"/>
      <c r="BX31" s="616"/>
      <c r="BY31" s="616"/>
      <c r="BZ31" s="534"/>
      <c r="CA31" s="605"/>
      <c r="CB31" s="522"/>
      <c r="CC31" s="534"/>
      <c r="CD31" s="616"/>
      <c r="CE31" s="616"/>
      <c r="CF31" s="534"/>
      <c r="CG31" s="616"/>
      <c r="CH31" s="607"/>
      <c r="CI31" s="607"/>
      <c r="CJ31" s="534"/>
      <c r="CK31" s="616"/>
      <c r="CL31" s="616"/>
      <c r="CM31" s="534"/>
      <c r="CN31" s="605"/>
    </row>
    <row r="32" spans="1:92" ht="15">
      <c r="A32" s="1537"/>
      <c r="B32" s="522"/>
      <c r="C32" s="534"/>
      <c r="D32" s="616"/>
      <c r="E32" s="616"/>
      <c r="F32" s="534"/>
      <c r="G32" s="616"/>
      <c r="H32" s="607"/>
      <c r="I32" s="607"/>
      <c r="J32" s="534"/>
      <c r="K32" s="616"/>
      <c r="L32" s="616"/>
      <c r="M32" s="534"/>
      <c r="N32" s="248"/>
      <c r="O32" s="50"/>
      <c r="P32" s="34"/>
      <c r="Q32" s="250"/>
      <c r="R32" s="34"/>
      <c r="S32" s="34"/>
      <c r="T32" s="256"/>
      <c r="U32" s="248"/>
      <c r="V32" s="256"/>
      <c r="W32" s="34"/>
      <c r="X32" s="38"/>
      <c r="Y32" s="38"/>
      <c r="Z32" s="34"/>
      <c r="AA32" s="248"/>
      <c r="AB32" s="522"/>
      <c r="AC32" s="534"/>
      <c r="AD32" s="616"/>
      <c r="AE32" s="616"/>
      <c r="AF32" s="534"/>
      <c r="AG32" s="616"/>
      <c r="AH32" s="607"/>
      <c r="AI32" s="607"/>
      <c r="AJ32" s="534"/>
      <c r="AK32" s="616"/>
      <c r="AL32" s="616"/>
      <c r="AM32" s="534"/>
      <c r="AN32" s="248"/>
      <c r="AO32" s="56">
        <v>9</v>
      </c>
      <c r="AP32" s="53">
        <v>2</v>
      </c>
      <c r="AQ32" s="52"/>
      <c r="AR32" s="52"/>
      <c r="AS32" s="53"/>
      <c r="AT32" s="257">
        <f>SUM(AP$24:AS32)</f>
        <v>45</v>
      </c>
      <c r="AU32" s="258">
        <f>AT32-AV32</f>
        <v>10</v>
      </c>
      <c r="AV32" s="259">
        <f>SUM(AW$24:AZ32)</f>
        <v>35</v>
      </c>
      <c r="AW32" s="53" t="s">
        <v>2</v>
      </c>
      <c r="AX32" s="52"/>
      <c r="AY32" s="52"/>
      <c r="AZ32" s="53"/>
      <c r="BA32" s="249"/>
      <c r="BB32" s="522"/>
      <c r="BC32" s="534"/>
      <c r="BD32" s="616"/>
      <c r="BE32" s="616"/>
      <c r="BF32" s="534"/>
      <c r="BG32" s="616"/>
      <c r="BH32" s="607"/>
      <c r="BI32" s="607"/>
      <c r="BJ32" s="534"/>
      <c r="BK32" s="616"/>
      <c r="BL32" s="616"/>
      <c r="BM32" s="534"/>
      <c r="BN32" s="605"/>
      <c r="BO32" s="522"/>
      <c r="BP32" s="534"/>
      <c r="BQ32" s="616"/>
      <c r="BR32" s="616"/>
      <c r="BS32" s="534"/>
      <c r="BT32" s="616"/>
      <c r="BU32" s="607"/>
      <c r="BV32" s="607"/>
      <c r="BW32" s="534"/>
      <c r="BX32" s="616"/>
      <c r="BY32" s="616"/>
      <c r="BZ32" s="534"/>
      <c r="CA32" s="605"/>
      <c r="CB32" s="522"/>
      <c r="CC32" s="534"/>
      <c r="CD32" s="616"/>
      <c r="CE32" s="616"/>
      <c r="CF32" s="534"/>
      <c r="CG32" s="616"/>
      <c r="CH32" s="607"/>
      <c r="CI32" s="607"/>
      <c r="CJ32" s="534"/>
      <c r="CK32" s="616"/>
      <c r="CL32" s="616"/>
      <c r="CM32" s="534"/>
      <c r="CN32" s="605"/>
    </row>
    <row r="33" spans="1:92" ht="15">
      <c r="A33" s="1537"/>
      <c r="B33" s="522"/>
      <c r="C33" s="534"/>
      <c r="D33" s="616"/>
      <c r="E33" s="616"/>
      <c r="F33" s="534"/>
      <c r="G33" s="616"/>
      <c r="H33" s="607"/>
      <c r="I33" s="607"/>
      <c r="J33" s="534"/>
      <c r="K33" s="616"/>
      <c r="L33" s="616"/>
      <c r="M33" s="534"/>
      <c r="N33" s="248"/>
      <c r="O33" s="50"/>
      <c r="P33" s="34"/>
      <c r="Q33" s="250"/>
      <c r="R33" s="34"/>
      <c r="S33" s="34"/>
      <c r="T33" s="250"/>
      <c r="U33" s="248"/>
      <c r="V33" s="248"/>
      <c r="W33" s="34"/>
      <c r="X33" s="250"/>
      <c r="Y33" s="250"/>
      <c r="Z33" s="34"/>
      <c r="AA33" s="248"/>
      <c r="AB33" s="522"/>
      <c r="AC33" s="534"/>
      <c r="AD33" s="616"/>
      <c r="AE33" s="616"/>
      <c r="AF33" s="534"/>
      <c r="AG33" s="616"/>
      <c r="AH33" s="607"/>
      <c r="AI33" s="607"/>
      <c r="AJ33" s="534"/>
      <c r="AK33" s="616"/>
      <c r="AL33" s="616"/>
      <c r="AM33" s="534"/>
      <c r="AN33" s="248"/>
      <c r="AO33" s="51">
        <v>10</v>
      </c>
      <c r="AP33" s="53"/>
      <c r="AQ33" s="1427">
        <v>5</v>
      </c>
      <c r="AR33" s="52"/>
      <c r="AS33" s="53"/>
      <c r="AT33" s="257">
        <f>SUM(AP$24:AS33)</f>
        <v>50</v>
      </c>
      <c r="AU33" s="258">
        <f>AT33-AV33</f>
        <v>15</v>
      </c>
      <c r="AV33" s="259">
        <f>SUM(AW$24:AZ33)</f>
        <v>35</v>
      </c>
      <c r="AW33" s="53"/>
      <c r="AX33" s="53"/>
      <c r="AY33" s="52"/>
      <c r="AZ33" s="53"/>
      <c r="BA33" s="249"/>
      <c r="BB33" s="522"/>
      <c r="BC33" s="534"/>
      <c r="BD33" s="616"/>
      <c r="BE33" s="616"/>
      <c r="BF33" s="534"/>
      <c r="BG33" s="616"/>
      <c r="BH33" s="607"/>
      <c r="BI33" s="607"/>
      <c r="BJ33" s="534"/>
      <c r="BK33" s="616"/>
      <c r="BL33" s="616"/>
      <c r="BM33" s="534"/>
      <c r="BN33" s="605"/>
      <c r="BO33" s="522"/>
      <c r="BP33" s="534"/>
      <c r="BQ33" s="616"/>
      <c r="BR33" s="616"/>
      <c r="BS33" s="534"/>
      <c r="BT33" s="616"/>
      <c r="BU33" s="607"/>
      <c r="BV33" s="607"/>
      <c r="BW33" s="534"/>
      <c r="BX33" s="616"/>
      <c r="BY33" s="616"/>
      <c r="BZ33" s="534"/>
      <c r="CA33" s="605"/>
      <c r="CB33" s="522"/>
      <c r="CC33" s="534"/>
      <c r="CD33" s="616"/>
      <c r="CE33" s="616"/>
      <c r="CF33" s="534"/>
      <c r="CG33" s="616"/>
      <c r="CH33" s="607"/>
      <c r="CI33" s="607"/>
      <c r="CJ33" s="534"/>
      <c r="CK33" s="616"/>
      <c r="CL33" s="616"/>
      <c r="CM33" s="534"/>
      <c r="CN33" s="605"/>
    </row>
    <row r="34" spans="1:92">
      <c r="A34" s="1537"/>
      <c r="B34" s="522"/>
      <c r="C34" s="534"/>
      <c r="D34" s="616"/>
      <c r="E34" s="616"/>
      <c r="F34" s="534"/>
      <c r="G34" s="616"/>
      <c r="H34" s="607"/>
      <c r="I34" s="607"/>
      <c r="J34" s="534"/>
      <c r="K34" s="616"/>
      <c r="L34" s="616"/>
      <c r="M34" s="534"/>
      <c r="N34" s="248"/>
      <c r="O34" s="50"/>
      <c r="P34" s="34"/>
      <c r="Q34" s="250"/>
      <c r="R34" s="34"/>
      <c r="S34" s="34"/>
      <c r="T34" s="250"/>
      <c r="U34" s="248"/>
      <c r="V34" s="248"/>
      <c r="W34" s="34"/>
      <c r="X34" s="250"/>
      <c r="Y34" s="250"/>
      <c r="Z34" s="34"/>
      <c r="AA34" s="248"/>
      <c r="AB34" s="522"/>
      <c r="AC34" s="534"/>
      <c r="AD34" s="616"/>
      <c r="AE34" s="616"/>
      <c r="AF34" s="534"/>
      <c r="AG34" s="616"/>
      <c r="AH34" s="607"/>
      <c r="AI34" s="607"/>
      <c r="AJ34" s="534"/>
      <c r="AK34" s="616"/>
      <c r="AL34" s="616"/>
      <c r="AM34" s="534"/>
      <c r="AN34" s="248"/>
      <c r="AO34" s="522"/>
      <c r="AP34" s="534"/>
      <c r="AQ34" s="616"/>
      <c r="AR34" s="616"/>
      <c r="AS34" s="534"/>
      <c r="AT34" s="616"/>
      <c r="AU34" s="607"/>
      <c r="AV34" s="607"/>
      <c r="AW34" s="534"/>
      <c r="AX34" s="616"/>
      <c r="AY34" s="616"/>
      <c r="AZ34" s="534"/>
      <c r="BA34" s="249"/>
      <c r="BB34" s="522"/>
      <c r="BC34" s="534"/>
      <c r="BD34" s="616"/>
      <c r="BE34" s="616"/>
      <c r="BF34" s="534"/>
      <c r="BG34" s="616"/>
      <c r="BH34" s="607"/>
      <c r="BI34" s="607"/>
      <c r="BJ34" s="534"/>
      <c r="BK34" s="616"/>
      <c r="BL34" s="616"/>
      <c r="BM34" s="534"/>
      <c r="BN34" s="605"/>
      <c r="BO34" s="522"/>
      <c r="BP34" s="534"/>
      <c r="BQ34" s="616"/>
      <c r="BR34" s="616"/>
      <c r="BS34" s="534"/>
      <c r="BT34" s="616"/>
      <c r="BU34" s="607"/>
      <c r="BV34" s="607"/>
      <c r="BW34" s="534"/>
      <c r="BX34" s="616"/>
      <c r="BY34" s="616"/>
      <c r="BZ34" s="534"/>
      <c r="CA34" s="605"/>
      <c r="CB34" s="522"/>
      <c r="CC34" s="534"/>
      <c r="CD34" s="616"/>
      <c r="CE34" s="616"/>
      <c r="CF34" s="534"/>
      <c r="CG34" s="616"/>
      <c r="CH34" s="607"/>
      <c r="CI34" s="607"/>
      <c r="CJ34" s="534"/>
      <c r="CK34" s="616"/>
      <c r="CL34" s="616"/>
      <c r="CM34" s="534"/>
      <c r="CN34" s="605"/>
    </row>
    <row r="35" spans="1:92" ht="15">
      <c r="A35" s="1537"/>
      <c r="B35" s="64" t="s">
        <v>3</v>
      </c>
      <c r="C35" s="52">
        <f>SUM(C24:C34)</f>
        <v>19</v>
      </c>
      <c r="D35" s="52">
        <f>SUM(D24:D34)</f>
        <v>11</v>
      </c>
      <c r="E35" s="52">
        <f>SUM(E24:E34)</f>
        <v>17</v>
      </c>
      <c r="F35" s="52">
        <f>SUM(F24:F34)</f>
        <v>3</v>
      </c>
      <c r="G35" s="66">
        <f>SUM(C35:F35)</f>
        <v>50</v>
      </c>
      <c r="H35" s="251"/>
      <c r="I35" s="66">
        <f>SUM(J35:M35)</f>
        <v>35</v>
      </c>
      <c r="J35" s="52">
        <f>SUM(J24:J34)</f>
        <v>5</v>
      </c>
      <c r="K35" s="52">
        <f>SUM(K24:K34)</f>
        <v>24</v>
      </c>
      <c r="L35" s="52">
        <f>SUM(L24:L34)</f>
        <v>6</v>
      </c>
      <c r="M35" s="65">
        <f>SUM(M24:M34)</f>
        <v>0</v>
      </c>
      <c r="N35" s="248"/>
      <c r="O35" s="61"/>
      <c r="P35" s="34"/>
      <c r="Q35" s="34"/>
      <c r="R35" s="34"/>
      <c r="S35" s="34"/>
      <c r="T35" s="62"/>
      <c r="U35" s="248"/>
      <c r="V35" s="62"/>
      <c r="W35" s="34"/>
      <c r="X35" s="34"/>
      <c r="Y35" s="34"/>
      <c r="Z35" s="34"/>
      <c r="AA35" s="248"/>
      <c r="AB35" s="64" t="s">
        <v>3</v>
      </c>
      <c r="AC35" s="52">
        <f>SUM(AC24:AC34)</f>
        <v>14</v>
      </c>
      <c r="AD35" s="52">
        <f>SUM(AD24:AD34)</f>
        <v>12</v>
      </c>
      <c r="AE35" s="52">
        <f>SUM(AE24:AE34)</f>
        <v>19</v>
      </c>
      <c r="AF35" s="52">
        <f>SUM(AF24:AF34)</f>
        <v>5</v>
      </c>
      <c r="AG35" s="66">
        <f>SUM(AC35:AF35)</f>
        <v>50</v>
      </c>
      <c r="AH35" s="251"/>
      <c r="AI35" s="66">
        <f>SUM(AJ35:AM35)</f>
        <v>32</v>
      </c>
      <c r="AJ35" s="52">
        <f>SUM(AJ24:AJ34)</f>
        <v>2</v>
      </c>
      <c r="AK35" s="52">
        <f>SUM(AK24:AK34)</f>
        <v>14</v>
      </c>
      <c r="AL35" s="52">
        <f>SUM(AL24:AL34)</f>
        <v>8</v>
      </c>
      <c r="AM35" s="65">
        <f>SUM(AM24:AM34)</f>
        <v>8</v>
      </c>
      <c r="AN35" s="248"/>
      <c r="AO35" s="64" t="s">
        <v>3</v>
      </c>
      <c r="AP35" s="52">
        <f>SUM(AP24:AP34)</f>
        <v>13</v>
      </c>
      <c r="AQ35" s="52">
        <f>SUM(AQ24:AQ34)</f>
        <v>18</v>
      </c>
      <c r="AR35" s="52">
        <f>SUM(AR24:AR34)</f>
        <v>17</v>
      </c>
      <c r="AS35" s="52">
        <f>SUM(AS24:AS34)</f>
        <v>2</v>
      </c>
      <c r="AT35" s="66">
        <f>SUM(AP35:AS35)</f>
        <v>50</v>
      </c>
      <c r="AU35" s="251"/>
      <c r="AV35" s="66">
        <f>SUM(AW35:AZ35)</f>
        <v>35</v>
      </c>
      <c r="AW35" s="52">
        <f>SUM(AW24:AW34)</f>
        <v>5</v>
      </c>
      <c r="AX35" s="52">
        <f>SUM(AX24:AX34)</f>
        <v>15</v>
      </c>
      <c r="AY35" s="52">
        <f>SUM(AY24:AY34)</f>
        <v>11</v>
      </c>
      <c r="AZ35" s="65">
        <f>SUM(AZ24:AZ34)</f>
        <v>4</v>
      </c>
      <c r="BA35" s="249"/>
      <c r="BB35" s="539" t="s">
        <v>3</v>
      </c>
      <c r="BC35" s="531">
        <f>SUM(BC24:BC34)</f>
        <v>14</v>
      </c>
      <c r="BD35" s="531">
        <f>SUM(BD24:BD34)</f>
        <v>24</v>
      </c>
      <c r="BE35" s="531">
        <f>SUM(BE24:BE34)</f>
        <v>12</v>
      </c>
      <c r="BF35" s="531">
        <f>SUM(BF24:BF34)</f>
        <v>0</v>
      </c>
      <c r="BG35" s="541">
        <f>SUM(BC35:BF35)</f>
        <v>50</v>
      </c>
      <c r="BH35" s="607"/>
      <c r="BI35" s="541">
        <f>SUM(BJ35:BM35)</f>
        <v>42</v>
      </c>
      <c r="BJ35" s="531">
        <f>SUM(BJ24:BJ34)</f>
        <v>14</v>
      </c>
      <c r="BK35" s="531">
        <f>SUM(BK24:BK34)</f>
        <v>12</v>
      </c>
      <c r="BL35" s="531">
        <f>SUM(BL24:BL34)</f>
        <v>5</v>
      </c>
      <c r="BM35" s="540">
        <f>SUM(BM24:BM34)</f>
        <v>11</v>
      </c>
      <c r="BN35" s="605"/>
      <c r="BO35" s="539" t="s">
        <v>3</v>
      </c>
      <c r="BP35" s="531">
        <f>SUM(BP24:BP34)</f>
        <v>22</v>
      </c>
      <c r="BQ35" s="531">
        <f>SUM(BQ24:BQ34)</f>
        <v>18</v>
      </c>
      <c r="BR35" s="531">
        <f>SUM(BR24:BR34)</f>
        <v>10</v>
      </c>
      <c r="BS35" s="531">
        <f>SUM(BS24:BS34)</f>
        <v>0</v>
      </c>
      <c r="BT35" s="541">
        <f>SUM(BP35:BS35)</f>
        <v>50</v>
      </c>
      <c r="BU35" s="607"/>
      <c r="BV35" s="541">
        <f>SUM(BW35:BZ35)</f>
        <v>15</v>
      </c>
      <c r="BW35" s="531">
        <f>SUM(BW24:BW34)</f>
        <v>8</v>
      </c>
      <c r="BX35" s="531">
        <f>SUM(BX24:BX34)</f>
        <v>4</v>
      </c>
      <c r="BY35" s="531">
        <f>SUM(BY24:BY34)</f>
        <v>2</v>
      </c>
      <c r="BZ35" s="540">
        <f>SUM(BZ24:BZ34)</f>
        <v>1</v>
      </c>
      <c r="CA35" s="605"/>
      <c r="CB35" s="539" t="s">
        <v>3</v>
      </c>
      <c r="CC35" s="531">
        <f>SUM(CC24:CC34)</f>
        <v>17</v>
      </c>
      <c r="CD35" s="531">
        <f>SUM(CD24:CD34)</f>
        <v>24</v>
      </c>
      <c r="CE35" s="531">
        <f>SUM(CE24:CE34)</f>
        <v>6</v>
      </c>
      <c r="CF35" s="531">
        <f>SUM(CF24:CF34)</f>
        <v>3</v>
      </c>
      <c r="CG35" s="541">
        <f>SUM(CC35:CF35)</f>
        <v>50</v>
      </c>
      <c r="CH35" s="607"/>
      <c r="CI35" s="541">
        <f>SUM(CJ35:CM35)</f>
        <v>27</v>
      </c>
      <c r="CJ35" s="531">
        <f>SUM(CJ24:CJ34)</f>
        <v>9</v>
      </c>
      <c r="CK35" s="531">
        <f>SUM(CK24:CK34)</f>
        <v>12</v>
      </c>
      <c r="CL35" s="531">
        <f>SUM(CL24:CL34)</f>
        <v>6</v>
      </c>
      <c r="CM35" s="540">
        <f>SUM(CM24:CM34)</f>
        <v>0</v>
      </c>
      <c r="CN35" s="605"/>
    </row>
    <row r="36" spans="1:92" ht="15">
      <c r="A36" s="1537"/>
      <c r="B36" s="67" t="s">
        <v>4</v>
      </c>
      <c r="C36" s="53">
        <f>COUNTA(C24:C34)</f>
        <v>2</v>
      </c>
      <c r="D36" s="53">
        <f>COUNTA(D24:D34)</f>
        <v>2</v>
      </c>
      <c r="E36" s="53">
        <f>COUNTA(E24:E34)</f>
        <v>2</v>
      </c>
      <c r="F36" s="53">
        <f>COUNTA(F24:F34)</f>
        <v>1</v>
      </c>
      <c r="G36" s="66">
        <f>SUM(C36:F36)</f>
        <v>7</v>
      </c>
      <c r="H36" s="251"/>
      <c r="I36" s="66">
        <f>SUM(J36:M36)</f>
        <v>6</v>
      </c>
      <c r="J36" s="53">
        <f>COUNTA(J24:J34)</f>
        <v>2</v>
      </c>
      <c r="K36" s="53">
        <f>COUNTA(K24:K34)</f>
        <v>2</v>
      </c>
      <c r="L36" s="53">
        <f>COUNTA(L24:L34)</f>
        <v>1</v>
      </c>
      <c r="M36" s="53">
        <f>COUNTA(M24:M34)</f>
        <v>1</v>
      </c>
      <c r="N36" s="248"/>
      <c r="O36" s="61"/>
      <c r="P36" s="63"/>
      <c r="Q36" s="63"/>
      <c r="R36" s="63"/>
      <c r="S36" s="63"/>
      <c r="T36" s="62"/>
      <c r="U36" s="248"/>
      <c r="V36" s="62"/>
      <c r="W36" s="38"/>
      <c r="X36" s="38"/>
      <c r="Y36" s="38"/>
      <c r="Z36" s="38"/>
      <c r="AA36" s="248"/>
      <c r="AB36" s="67" t="s">
        <v>4</v>
      </c>
      <c r="AC36" s="53">
        <f>COUNTA(AC24:AC34)</f>
        <v>2</v>
      </c>
      <c r="AD36" s="53">
        <f>COUNTA(AD24:AD34)</f>
        <v>2</v>
      </c>
      <c r="AE36" s="53">
        <f>COUNTA(AE24:AE34)</f>
        <v>2</v>
      </c>
      <c r="AF36" s="53">
        <f>COUNTA(AF24:AF34)</f>
        <v>1</v>
      </c>
      <c r="AG36" s="66">
        <f>SUM(AC36:AF36)</f>
        <v>7</v>
      </c>
      <c r="AH36" s="251"/>
      <c r="AI36" s="66">
        <f>SUM(AJ36:AM36)</f>
        <v>6</v>
      </c>
      <c r="AJ36" s="53">
        <f>COUNTA(AJ24:AJ34)</f>
        <v>2</v>
      </c>
      <c r="AK36" s="53">
        <f>COUNTA(AK24:AK34)</f>
        <v>2</v>
      </c>
      <c r="AL36" s="53">
        <f>COUNTA(AL24:AL34)</f>
        <v>1</v>
      </c>
      <c r="AM36" s="53">
        <f>COUNTA(AM24:AM34)</f>
        <v>1</v>
      </c>
      <c r="AN36" s="248"/>
      <c r="AO36" s="67" t="s">
        <v>4</v>
      </c>
      <c r="AP36" s="53">
        <f>COUNTA(AP24:AP34)</f>
        <v>3</v>
      </c>
      <c r="AQ36" s="53">
        <f>COUNTA(AQ24:AQ34)</f>
        <v>3</v>
      </c>
      <c r="AR36" s="53">
        <f>COUNTA(AR24:AR34)</f>
        <v>2</v>
      </c>
      <c r="AS36" s="53">
        <f>COUNTA(AS24:AS34)</f>
        <v>2</v>
      </c>
      <c r="AT36" s="66">
        <f>SUM(AP36:AS36)</f>
        <v>10</v>
      </c>
      <c r="AU36" s="251"/>
      <c r="AV36" s="66">
        <f>SUM(AW36:AZ36)</f>
        <v>9</v>
      </c>
      <c r="AW36" s="53">
        <f>COUNTA(AW24:AW34)</f>
        <v>3</v>
      </c>
      <c r="AX36" s="53">
        <f>COUNTA(AX24:AX34)</f>
        <v>2</v>
      </c>
      <c r="AY36" s="53">
        <f>COUNTA(AY24:AY34)</f>
        <v>2</v>
      </c>
      <c r="AZ36" s="53">
        <f>COUNTA(AZ24:AZ34)</f>
        <v>2</v>
      </c>
      <c r="BA36" s="249"/>
      <c r="BB36" s="542" t="s">
        <v>4</v>
      </c>
      <c r="BC36" s="532">
        <f>COUNTA(BC24:BC34)</f>
        <v>2</v>
      </c>
      <c r="BD36" s="532">
        <f>COUNTA(BD24:BD34)</f>
        <v>2</v>
      </c>
      <c r="BE36" s="532">
        <f>COUNTA(BE24:BE34)</f>
        <v>1</v>
      </c>
      <c r="BF36" s="532">
        <f>COUNTA(BF24:BF34)</f>
        <v>1</v>
      </c>
      <c r="BG36" s="541">
        <f>SUM(BC36:BF36)</f>
        <v>6</v>
      </c>
      <c r="BH36" s="607"/>
      <c r="BI36" s="541">
        <f>SUM(BJ36:BM36)</f>
        <v>5</v>
      </c>
      <c r="BJ36" s="532">
        <f>COUNTA(BJ24:BJ34)</f>
        <v>2</v>
      </c>
      <c r="BK36" s="532">
        <f>COUNTA(BK24:BK34)</f>
        <v>1</v>
      </c>
      <c r="BL36" s="532">
        <f>COUNTA(BL24:BL34)</f>
        <v>1</v>
      </c>
      <c r="BM36" s="532">
        <f>COUNTA(BM24:BM34)</f>
        <v>1</v>
      </c>
      <c r="BN36" s="605"/>
      <c r="BO36" s="542" t="s">
        <v>4</v>
      </c>
      <c r="BP36" s="532">
        <f>COUNTA(BP24:BP34)</f>
        <v>2</v>
      </c>
      <c r="BQ36" s="532">
        <f>COUNTA(BQ24:BQ34)</f>
        <v>2</v>
      </c>
      <c r="BR36" s="532">
        <f>COUNTA(BR24:BR34)</f>
        <v>1</v>
      </c>
      <c r="BS36" s="532">
        <f>COUNTA(BS24:BS34)</f>
        <v>1</v>
      </c>
      <c r="BT36" s="541">
        <f>SUM(BP36:BS36)</f>
        <v>6</v>
      </c>
      <c r="BU36" s="607"/>
      <c r="BV36" s="541">
        <f>SUM(BW36:BZ36)</f>
        <v>5</v>
      </c>
      <c r="BW36" s="532">
        <f>COUNTA(BW24:BW34)</f>
        <v>2</v>
      </c>
      <c r="BX36" s="532">
        <f>COUNTA(BX24:BX34)</f>
        <v>1</v>
      </c>
      <c r="BY36" s="532">
        <f>COUNTA(BY24:BY34)</f>
        <v>1</v>
      </c>
      <c r="BZ36" s="532">
        <f>COUNTA(BZ24:BZ34)</f>
        <v>1</v>
      </c>
      <c r="CA36" s="605"/>
      <c r="CB36" s="542" t="s">
        <v>4</v>
      </c>
      <c r="CC36" s="532">
        <f>COUNTA(CC24:CC34)</f>
        <v>2</v>
      </c>
      <c r="CD36" s="532">
        <f>COUNTA(CD24:CD34)</f>
        <v>2</v>
      </c>
      <c r="CE36" s="532">
        <f>COUNTA(CE24:CE34)</f>
        <v>1</v>
      </c>
      <c r="CF36" s="532">
        <f>COUNTA(CF24:CF34)</f>
        <v>1</v>
      </c>
      <c r="CG36" s="541">
        <f>SUM(CC36:CF36)</f>
        <v>6</v>
      </c>
      <c r="CH36" s="607"/>
      <c r="CI36" s="541">
        <f>SUM(CJ36:CM36)</f>
        <v>5</v>
      </c>
      <c r="CJ36" s="532">
        <f>COUNTA(CJ24:CJ34)</f>
        <v>2</v>
      </c>
      <c r="CK36" s="532">
        <f>COUNTA(CK24:CK34)</f>
        <v>1</v>
      </c>
      <c r="CL36" s="532">
        <f>COUNTA(CL24:CL34)</f>
        <v>1</v>
      </c>
      <c r="CM36" s="532">
        <f>COUNTA(CM24:CM34)</f>
        <v>1</v>
      </c>
      <c r="CN36" s="605"/>
    </row>
    <row r="37" spans="1:92" ht="15">
      <c r="A37" s="1537"/>
      <c r="B37" s="64" t="s">
        <v>6</v>
      </c>
      <c r="C37" s="52">
        <f>C36-COUNT(C24:C34)</f>
        <v>0</v>
      </c>
      <c r="D37" s="52">
        <f>D36-COUNT(D24:D34)</f>
        <v>0</v>
      </c>
      <c r="E37" s="52">
        <f>E36-COUNT(E24:E34)</f>
        <v>0</v>
      </c>
      <c r="F37" s="52">
        <f>F36-COUNT(F24:F34)</f>
        <v>0</v>
      </c>
      <c r="G37" s="66">
        <f>SUM(C37:F37)</f>
        <v>0</v>
      </c>
      <c r="H37" s="251"/>
      <c r="I37" s="66">
        <f>SUM(J37:M37)</f>
        <v>1</v>
      </c>
      <c r="J37" s="52">
        <f>J36-COUNT(J24:J34)</f>
        <v>0</v>
      </c>
      <c r="K37" s="65">
        <f>K36-COUNT(K24:K34)</f>
        <v>0</v>
      </c>
      <c r="L37" s="65">
        <f>L36-COUNT(L24:L34)</f>
        <v>0</v>
      </c>
      <c r="M37" s="52">
        <f>M36-COUNT(M24:M34)</f>
        <v>1</v>
      </c>
      <c r="N37" s="248"/>
      <c r="O37" s="61"/>
      <c r="P37" s="69"/>
      <c r="Q37" s="71"/>
      <c r="R37" s="71"/>
      <c r="S37" s="71"/>
      <c r="T37" s="70"/>
      <c r="U37" s="248"/>
      <c r="V37" s="70"/>
      <c r="W37" s="69"/>
      <c r="X37" s="69"/>
      <c r="Y37" s="69"/>
      <c r="Z37" s="69"/>
      <c r="AA37" s="248"/>
      <c r="AB37" s="64" t="s">
        <v>6</v>
      </c>
      <c r="AC37" s="52">
        <f>AC36-COUNT(AC24:AC34)</f>
        <v>0</v>
      </c>
      <c r="AD37" s="52">
        <f>AD36-COUNT(AD24:AD34)</f>
        <v>0</v>
      </c>
      <c r="AE37" s="52">
        <f>AE36-COUNT(AE24:AE34)</f>
        <v>0</v>
      </c>
      <c r="AF37" s="52">
        <f>AF36-COUNT(AF24:AF34)</f>
        <v>0</v>
      </c>
      <c r="AG37" s="66">
        <f>SUM(AC37:AF37)</f>
        <v>0</v>
      </c>
      <c r="AH37" s="251"/>
      <c r="AI37" s="66">
        <f>SUM(AJ37:AM37)</f>
        <v>1</v>
      </c>
      <c r="AJ37" s="52">
        <f>AJ36-COUNT(AJ24:AJ34)</f>
        <v>1</v>
      </c>
      <c r="AK37" s="65">
        <f>AK36-COUNT(AK24:AK34)</f>
        <v>0</v>
      </c>
      <c r="AL37" s="65">
        <f>AL36-COUNT(AL24:AL34)</f>
        <v>0</v>
      </c>
      <c r="AM37" s="52">
        <f>AM36-COUNT(AM24:AM34)</f>
        <v>0</v>
      </c>
      <c r="AN37" s="248"/>
      <c r="AO37" s="64" t="s">
        <v>6</v>
      </c>
      <c r="AP37" s="52">
        <f>AP36-COUNT(AP24:AP34)</f>
        <v>1</v>
      </c>
      <c r="AQ37" s="52">
        <f>AQ36-COUNT(AQ24:AQ34)</f>
        <v>0</v>
      </c>
      <c r="AR37" s="52">
        <f>AR36-COUNT(AR24:AR34)</f>
        <v>0</v>
      </c>
      <c r="AS37" s="52">
        <f>AS36-COUNT(AS24:AS34)</f>
        <v>1</v>
      </c>
      <c r="AT37" s="66">
        <f>SUM(AP37:AS37)</f>
        <v>2</v>
      </c>
      <c r="AU37" s="251"/>
      <c r="AV37" s="66">
        <f>SUM(AW37:AZ37)</f>
        <v>2</v>
      </c>
      <c r="AW37" s="52">
        <f>AW36-COUNT(AW24:AW34)</f>
        <v>1</v>
      </c>
      <c r="AX37" s="65">
        <f>AX36-COUNT(AX24:AX34)</f>
        <v>0</v>
      </c>
      <c r="AY37" s="540">
        <f>AY36-COUNT(AY24:AY34)</f>
        <v>0</v>
      </c>
      <c r="AZ37" s="52">
        <f>AZ36-COUNT(AZ24:AZ34)</f>
        <v>1</v>
      </c>
      <c r="BA37" s="249"/>
      <c r="BB37" s="539" t="s">
        <v>6</v>
      </c>
      <c r="BC37" s="531">
        <f>BC36-COUNT(BC24:BC34)</f>
        <v>0</v>
      </c>
      <c r="BD37" s="531">
        <f>BD36-COUNT(BD24:BD34)</f>
        <v>0</v>
      </c>
      <c r="BE37" s="531">
        <f>BE36-COUNT(BE24:BE34)</f>
        <v>0</v>
      </c>
      <c r="BF37" s="531">
        <f>BF36-COUNT(BF24:BF34)</f>
        <v>1</v>
      </c>
      <c r="BG37" s="541">
        <f>SUM(BC37:BF37)</f>
        <v>1</v>
      </c>
      <c r="BH37" s="607"/>
      <c r="BI37" s="541">
        <f>SUM(BJ37:BM37)</f>
        <v>0</v>
      </c>
      <c r="BJ37" s="531">
        <f>BJ36-COUNT(BJ24:BJ34)</f>
        <v>0</v>
      </c>
      <c r="BK37" s="540">
        <f>BK36-COUNT(BK24:BK34)</f>
        <v>0</v>
      </c>
      <c r="BL37" s="540">
        <f>BL36-COUNT(BL24:BL34)</f>
        <v>0</v>
      </c>
      <c r="BM37" s="531">
        <f>BM36-COUNT(BM24:BM34)</f>
        <v>0</v>
      </c>
      <c r="BN37" s="605"/>
      <c r="BO37" s="539" t="s">
        <v>6</v>
      </c>
      <c r="BP37" s="531">
        <f>BP36-COUNT(BP24:BP34)</f>
        <v>0</v>
      </c>
      <c r="BQ37" s="531">
        <f>BQ36-COUNT(BQ24:BQ34)</f>
        <v>0</v>
      </c>
      <c r="BR37" s="531">
        <f>BR36-COUNT(BR24:BR34)</f>
        <v>0</v>
      </c>
      <c r="BS37" s="531">
        <f>BS36-COUNT(BS24:BS34)</f>
        <v>1</v>
      </c>
      <c r="BT37" s="541">
        <f>SUM(BP37:BS37)</f>
        <v>1</v>
      </c>
      <c r="BU37" s="607"/>
      <c r="BV37" s="541">
        <f>SUM(BW37:BZ37)</f>
        <v>1</v>
      </c>
      <c r="BW37" s="531">
        <f>BW36-COUNT(BW24:BW34)</f>
        <v>1</v>
      </c>
      <c r="BX37" s="540">
        <f>BX36-COUNT(BX24:BX34)</f>
        <v>0</v>
      </c>
      <c r="BY37" s="540">
        <f>BY36-COUNT(BY24:BY34)</f>
        <v>0</v>
      </c>
      <c r="BZ37" s="531">
        <f>BZ36-COUNT(BZ24:BZ34)</f>
        <v>0</v>
      </c>
      <c r="CA37" s="605"/>
      <c r="CB37" s="539" t="s">
        <v>6</v>
      </c>
      <c r="CC37" s="531">
        <f>CC36-COUNT(CC24:CC34)</f>
        <v>0</v>
      </c>
      <c r="CD37" s="531">
        <f>CD36-COUNT(CD24:CD34)</f>
        <v>0</v>
      </c>
      <c r="CE37" s="531">
        <f>CE36-COUNT(CE24:CE34)</f>
        <v>0</v>
      </c>
      <c r="CF37" s="531">
        <f>CF36-COUNT(CF24:CF34)</f>
        <v>0</v>
      </c>
      <c r="CG37" s="541">
        <f>SUM(CC37:CF37)</f>
        <v>0</v>
      </c>
      <c r="CH37" s="607"/>
      <c r="CI37" s="541">
        <f>SUM(CJ37:CM37)</f>
        <v>1</v>
      </c>
      <c r="CJ37" s="531">
        <f>CJ36-COUNT(CJ24:CJ34)</f>
        <v>0</v>
      </c>
      <c r="CK37" s="540">
        <f>CK36-COUNT(CK24:CK34)</f>
        <v>0</v>
      </c>
      <c r="CL37" s="540">
        <f>CL36-COUNT(CL24:CL34)</f>
        <v>0</v>
      </c>
      <c r="CM37" s="531">
        <f>CM36-COUNT(CM24:CM34)</f>
        <v>1</v>
      </c>
      <c r="CN37" s="605"/>
    </row>
    <row r="38" spans="1:92" ht="15">
      <c r="A38" s="1537"/>
      <c r="B38" s="64" t="s">
        <v>12</v>
      </c>
      <c r="C38" s="75">
        <f>C37/C36</f>
        <v>0</v>
      </c>
      <c r="D38" s="72">
        <f>D37/D36</f>
        <v>0</v>
      </c>
      <c r="E38" s="72">
        <f>E37/E36</f>
        <v>0</v>
      </c>
      <c r="F38" s="72">
        <f>F37/F36</f>
        <v>0</v>
      </c>
      <c r="G38" s="74">
        <f>G37/G36</f>
        <v>0</v>
      </c>
      <c r="H38" s="251"/>
      <c r="I38" s="74">
        <f>I37/I36</f>
        <v>0.16666666666666666</v>
      </c>
      <c r="J38" s="72">
        <f>J37/J36</f>
        <v>0</v>
      </c>
      <c r="K38" s="73">
        <f>K37/K36</f>
        <v>0</v>
      </c>
      <c r="L38" s="73">
        <f>L37/L36</f>
        <v>0</v>
      </c>
      <c r="M38" s="72">
        <f>M37/M36</f>
        <v>1</v>
      </c>
      <c r="N38" s="248"/>
      <c r="O38" s="61"/>
      <c r="P38" s="76"/>
      <c r="Q38" s="78"/>
      <c r="R38" s="76"/>
      <c r="S38" s="76"/>
      <c r="T38" s="77"/>
      <c r="U38" s="248"/>
      <c r="V38" s="77"/>
      <c r="W38" s="76"/>
      <c r="X38" s="76"/>
      <c r="Y38" s="76"/>
      <c r="Z38" s="76"/>
      <c r="AA38" s="248"/>
      <c r="AB38" s="64" t="s">
        <v>12</v>
      </c>
      <c r="AC38" s="75">
        <f>AC37/AC36</f>
        <v>0</v>
      </c>
      <c r="AD38" s="72">
        <f>AD37/AD36</f>
        <v>0</v>
      </c>
      <c r="AE38" s="72">
        <f>AE37/AE36</f>
        <v>0</v>
      </c>
      <c r="AF38" s="72">
        <f>AF37/AF36</f>
        <v>0</v>
      </c>
      <c r="AG38" s="74">
        <f>AG37/AG36</f>
        <v>0</v>
      </c>
      <c r="AH38" s="251"/>
      <c r="AI38" s="74">
        <f>AI37/AI36</f>
        <v>0.16666666666666666</v>
      </c>
      <c r="AJ38" s="72">
        <f>AJ37/AJ36</f>
        <v>0.5</v>
      </c>
      <c r="AK38" s="73">
        <f>AK37/AK36</f>
        <v>0</v>
      </c>
      <c r="AL38" s="73">
        <f>AL37/AL36</f>
        <v>0</v>
      </c>
      <c r="AM38" s="72">
        <f>AM37/AM36</f>
        <v>0</v>
      </c>
      <c r="AN38" s="248"/>
      <c r="AO38" s="64" t="s">
        <v>12</v>
      </c>
      <c r="AP38" s="75">
        <f>AP37/AP36</f>
        <v>0.33333333333333331</v>
      </c>
      <c r="AQ38" s="72">
        <f>AQ37/AQ36</f>
        <v>0</v>
      </c>
      <c r="AR38" s="72">
        <f>AR37/AR36</f>
        <v>0</v>
      </c>
      <c r="AS38" s="72">
        <f>AS37/AS36</f>
        <v>0.5</v>
      </c>
      <c r="AT38" s="74">
        <f>AT37/AT36</f>
        <v>0.2</v>
      </c>
      <c r="AU38" s="251"/>
      <c r="AV38" s="74">
        <f>AV37/AV36</f>
        <v>0.22222222222222221</v>
      </c>
      <c r="AW38" s="72">
        <f>AW37/AW36</f>
        <v>0.33333333333333331</v>
      </c>
      <c r="AX38" s="73">
        <f>AX37/AX36</f>
        <v>0</v>
      </c>
      <c r="AY38" s="547">
        <f>AY37/AY36</f>
        <v>0</v>
      </c>
      <c r="AZ38" s="72">
        <f>AZ37/AZ36</f>
        <v>0.5</v>
      </c>
      <c r="BA38" s="249"/>
      <c r="BB38" s="539" t="s">
        <v>12</v>
      </c>
      <c r="BC38" s="549">
        <f>BC37/BC36</f>
        <v>0</v>
      </c>
      <c r="BD38" s="546">
        <f>BD37/BD36</f>
        <v>0</v>
      </c>
      <c r="BE38" s="546">
        <f>BE37/BE36</f>
        <v>0</v>
      </c>
      <c r="BF38" s="546">
        <f>BF37/BF36</f>
        <v>1</v>
      </c>
      <c r="BG38" s="548">
        <f>BG37/BG36</f>
        <v>0.16666666666666666</v>
      </c>
      <c r="BH38" s="607"/>
      <c r="BI38" s="548">
        <f>BI37/BI36</f>
        <v>0</v>
      </c>
      <c r="BJ38" s="546">
        <f>BJ37/BJ36</f>
        <v>0</v>
      </c>
      <c r="BK38" s="547">
        <f>BK37/BK36</f>
        <v>0</v>
      </c>
      <c r="BL38" s="547">
        <f>BL37/BL36</f>
        <v>0</v>
      </c>
      <c r="BM38" s="546">
        <f>BM37/BM36</f>
        <v>0</v>
      </c>
      <c r="BN38" s="605"/>
      <c r="BO38" s="539" t="s">
        <v>12</v>
      </c>
      <c r="BP38" s="549">
        <f>BP37/BP36</f>
        <v>0</v>
      </c>
      <c r="BQ38" s="546">
        <f>BQ37/BQ36</f>
        <v>0</v>
      </c>
      <c r="BR38" s="546">
        <f>BR37/BR36</f>
        <v>0</v>
      </c>
      <c r="BS38" s="546">
        <f>BS37/BS36</f>
        <v>1</v>
      </c>
      <c r="BT38" s="548">
        <f>BT37/BT36</f>
        <v>0.16666666666666666</v>
      </c>
      <c r="BU38" s="607"/>
      <c r="BV38" s="548">
        <f>BV37/BV36</f>
        <v>0.2</v>
      </c>
      <c r="BW38" s="546">
        <f>BW37/BW36</f>
        <v>0.5</v>
      </c>
      <c r="BX38" s="547">
        <f>BX37/BX36</f>
        <v>0</v>
      </c>
      <c r="BY38" s="547">
        <f>BY37/BY36</f>
        <v>0</v>
      </c>
      <c r="BZ38" s="546">
        <f>BZ37/BZ36</f>
        <v>0</v>
      </c>
      <c r="CA38" s="605"/>
      <c r="CB38" s="539" t="s">
        <v>12</v>
      </c>
      <c r="CC38" s="549">
        <f>CC37/CC36</f>
        <v>0</v>
      </c>
      <c r="CD38" s="546">
        <f>CD37/CD36</f>
        <v>0</v>
      </c>
      <c r="CE38" s="546">
        <f>CE37/CE36</f>
        <v>0</v>
      </c>
      <c r="CF38" s="546">
        <f>CF37/CF36</f>
        <v>0</v>
      </c>
      <c r="CG38" s="548">
        <f>CG37/CG36</f>
        <v>0</v>
      </c>
      <c r="CH38" s="607"/>
      <c r="CI38" s="548">
        <f>CI37/CI36</f>
        <v>0.2</v>
      </c>
      <c r="CJ38" s="546">
        <f>CJ37/CJ36</f>
        <v>0</v>
      </c>
      <c r="CK38" s="547">
        <f>CK37/CK36</f>
        <v>0</v>
      </c>
      <c r="CL38" s="547">
        <f>CL37/CL36</f>
        <v>0</v>
      </c>
      <c r="CM38" s="546">
        <f>CM37/CM36</f>
        <v>1</v>
      </c>
      <c r="CN38" s="605"/>
    </row>
    <row r="39" spans="1:92" ht="15">
      <c r="A39" s="1537"/>
      <c r="B39" s="64" t="s">
        <v>5</v>
      </c>
      <c r="C39" s="79">
        <f>C35/C36</f>
        <v>9.5</v>
      </c>
      <c r="D39" s="79">
        <f>D35/D36</f>
        <v>5.5</v>
      </c>
      <c r="E39" s="79">
        <f>E35/E36</f>
        <v>8.5</v>
      </c>
      <c r="F39" s="79">
        <f>F35/F36</f>
        <v>3</v>
      </c>
      <c r="G39" s="81">
        <f>G35/G36</f>
        <v>7.1428571428571432</v>
      </c>
      <c r="H39" s="251"/>
      <c r="I39" s="81">
        <f>I35/I36</f>
        <v>5.833333333333333</v>
      </c>
      <c r="J39" s="79">
        <f>J35/J36</f>
        <v>2.5</v>
      </c>
      <c r="K39" s="79">
        <f>K35/K36</f>
        <v>12</v>
      </c>
      <c r="L39" s="79">
        <f>L35/L36</f>
        <v>6</v>
      </c>
      <c r="M39" s="80">
        <f>M35/M36</f>
        <v>0</v>
      </c>
      <c r="N39" s="248"/>
      <c r="O39" s="61"/>
      <c r="P39" s="76"/>
      <c r="Q39" s="78"/>
      <c r="R39" s="82"/>
      <c r="S39" s="82"/>
      <c r="T39" s="83"/>
      <c r="U39" s="248"/>
      <c r="V39" s="83"/>
      <c r="W39" s="82"/>
      <c r="X39" s="82"/>
      <c r="Y39" s="82"/>
      <c r="Z39" s="82"/>
      <c r="AA39" s="248"/>
      <c r="AB39" s="64" t="s">
        <v>5</v>
      </c>
      <c r="AC39" s="79">
        <f>AC35/AC36</f>
        <v>7</v>
      </c>
      <c r="AD39" s="79">
        <f>AD35/AD36</f>
        <v>6</v>
      </c>
      <c r="AE39" s="79">
        <f>AE35/AE36</f>
        <v>9.5</v>
      </c>
      <c r="AF39" s="79">
        <f>AF35/AF36</f>
        <v>5</v>
      </c>
      <c r="AG39" s="81">
        <f>AG35/AG36</f>
        <v>7.1428571428571432</v>
      </c>
      <c r="AH39" s="251"/>
      <c r="AI39" s="81">
        <f>AI35/AI36</f>
        <v>5.333333333333333</v>
      </c>
      <c r="AJ39" s="79">
        <f>AJ35/AJ36</f>
        <v>1</v>
      </c>
      <c r="AK39" s="79">
        <f>AK35/AK36</f>
        <v>7</v>
      </c>
      <c r="AL39" s="79">
        <f>AL35/AL36</f>
        <v>8</v>
      </c>
      <c r="AM39" s="80">
        <f>AM35/AM36</f>
        <v>8</v>
      </c>
      <c r="AN39" s="248"/>
      <c r="AO39" s="64" t="s">
        <v>5</v>
      </c>
      <c r="AP39" s="79">
        <f>AP35/AP36</f>
        <v>4.333333333333333</v>
      </c>
      <c r="AQ39" s="79">
        <f>AQ35/AQ36</f>
        <v>6</v>
      </c>
      <c r="AR39" s="79">
        <f>AR35/AR36</f>
        <v>8.5</v>
      </c>
      <c r="AS39" s="79">
        <f>AS35/AS36</f>
        <v>1</v>
      </c>
      <c r="AT39" s="81">
        <f>AT35/AT36</f>
        <v>5</v>
      </c>
      <c r="AU39" s="251"/>
      <c r="AV39" s="81">
        <f>AV35/AV36</f>
        <v>3.8888888888888888</v>
      </c>
      <c r="AW39" s="79">
        <f>AW35/AW36</f>
        <v>1.6666666666666667</v>
      </c>
      <c r="AX39" s="79">
        <f>AX35/AX36</f>
        <v>7.5</v>
      </c>
      <c r="AY39" s="79">
        <f>AY35/AY36</f>
        <v>5.5</v>
      </c>
      <c r="AZ39" s="80">
        <f>AZ35/AZ36</f>
        <v>2</v>
      </c>
      <c r="BA39" s="249"/>
      <c r="BB39" s="539" t="s">
        <v>5</v>
      </c>
      <c r="BC39" s="553">
        <f>BC35/BC36</f>
        <v>7</v>
      </c>
      <c r="BD39" s="553">
        <f>BD35/BD36</f>
        <v>12</v>
      </c>
      <c r="BE39" s="553">
        <f>BE35/BE36</f>
        <v>12</v>
      </c>
      <c r="BF39" s="553">
        <f>BF35/BF36</f>
        <v>0</v>
      </c>
      <c r="BG39" s="555">
        <f>BG35/BG36</f>
        <v>8.3333333333333339</v>
      </c>
      <c r="BH39" s="607"/>
      <c r="BI39" s="555">
        <f>BI35/BI36</f>
        <v>8.4</v>
      </c>
      <c r="BJ39" s="553">
        <f>BJ35/BJ36</f>
        <v>7</v>
      </c>
      <c r="BK39" s="553">
        <f>BK35/BK36</f>
        <v>12</v>
      </c>
      <c r="BL39" s="553">
        <f>BL35/BL36</f>
        <v>5</v>
      </c>
      <c r="BM39" s="554">
        <f>BM35/BM36</f>
        <v>11</v>
      </c>
      <c r="BN39" s="605"/>
      <c r="BO39" s="539" t="s">
        <v>5</v>
      </c>
      <c r="BP39" s="553">
        <f>BP35/BP36</f>
        <v>11</v>
      </c>
      <c r="BQ39" s="553">
        <f>BQ35/BQ36</f>
        <v>9</v>
      </c>
      <c r="BR39" s="553">
        <f>BR35/BR36</f>
        <v>10</v>
      </c>
      <c r="BS39" s="553">
        <f>BS35/BS36</f>
        <v>0</v>
      </c>
      <c r="BT39" s="555">
        <f>BT35/BT36</f>
        <v>8.3333333333333339</v>
      </c>
      <c r="BU39" s="607"/>
      <c r="BV39" s="555">
        <f>BV35/BV36</f>
        <v>3</v>
      </c>
      <c r="BW39" s="553">
        <f>BW35/BW36</f>
        <v>4</v>
      </c>
      <c r="BX39" s="553">
        <f>BX35/BX36</f>
        <v>4</v>
      </c>
      <c r="BY39" s="553">
        <f>BY35/BY36</f>
        <v>2</v>
      </c>
      <c r="BZ39" s="554">
        <f>BZ35/BZ36</f>
        <v>1</v>
      </c>
      <c r="CA39" s="605"/>
      <c r="CB39" s="539" t="s">
        <v>5</v>
      </c>
      <c r="CC39" s="553">
        <f>CC35/CC36</f>
        <v>8.5</v>
      </c>
      <c r="CD39" s="553">
        <f>CD35/CD36</f>
        <v>12</v>
      </c>
      <c r="CE39" s="553">
        <f>CE35/CE36</f>
        <v>6</v>
      </c>
      <c r="CF39" s="553">
        <f>CF35/CF36</f>
        <v>3</v>
      </c>
      <c r="CG39" s="555">
        <f>CG35/CG36</f>
        <v>8.3333333333333339</v>
      </c>
      <c r="CH39" s="607"/>
      <c r="CI39" s="555">
        <f>CI35/CI36</f>
        <v>5.4</v>
      </c>
      <c r="CJ39" s="553">
        <f>CJ35/CJ36</f>
        <v>4.5</v>
      </c>
      <c r="CK39" s="553">
        <f>CK35/CK36</f>
        <v>12</v>
      </c>
      <c r="CL39" s="553">
        <f>CL35/CL36</f>
        <v>6</v>
      </c>
      <c r="CM39" s="554">
        <f>CM35/CM36</f>
        <v>0</v>
      </c>
      <c r="CN39" s="605"/>
    </row>
    <row r="40" spans="1:92" ht="15">
      <c r="A40" s="1537"/>
      <c r="B40" s="64" t="s">
        <v>8</v>
      </c>
      <c r="C40" s="84">
        <f>C35/(C36-C37)</f>
        <v>9.5</v>
      </c>
      <c r="D40" s="84">
        <f>D35/(D36-D37)</f>
        <v>5.5</v>
      </c>
      <c r="E40" s="84">
        <f>E35/(E36-E37)</f>
        <v>8.5</v>
      </c>
      <c r="F40" s="84">
        <f>F35/(F36-F37)</f>
        <v>3</v>
      </c>
      <c r="G40" s="85">
        <f>G35/(G36-G37)</f>
        <v>7.1428571428571432</v>
      </c>
      <c r="H40" s="251"/>
      <c r="I40" s="85">
        <f>I35/(I36-I37)</f>
        <v>7</v>
      </c>
      <c r="J40" s="84">
        <f>J35/(J36-J37)</f>
        <v>2.5</v>
      </c>
      <c r="K40" s="79">
        <f>K35/(K36-K37)</f>
        <v>12</v>
      </c>
      <c r="L40" s="79">
        <f>L35/(L36-L37)</f>
        <v>6</v>
      </c>
      <c r="M40" s="671">
        <v>0</v>
      </c>
      <c r="N40" s="248"/>
      <c r="O40" s="50"/>
      <c r="P40" s="34"/>
      <c r="Q40" s="34"/>
      <c r="R40" s="34"/>
      <c r="S40" s="34"/>
      <c r="T40" s="248"/>
      <c r="U40" s="248"/>
      <c r="V40" s="248"/>
      <c r="W40" s="248"/>
      <c r="X40" s="248"/>
      <c r="Y40" s="248"/>
      <c r="Z40" s="248"/>
      <c r="AA40" s="248"/>
      <c r="AB40" s="64" t="s">
        <v>8</v>
      </c>
      <c r="AC40" s="84">
        <f>AC35/(AC36-AC37)</f>
        <v>7</v>
      </c>
      <c r="AD40" s="84">
        <f>AD35/(AD36-AD37)</f>
        <v>6</v>
      </c>
      <c r="AE40" s="84">
        <f>AE35/(AE36-AE37)</f>
        <v>9.5</v>
      </c>
      <c r="AF40" s="84">
        <f>AF35/(AF36-AF37)</f>
        <v>5</v>
      </c>
      <c r="AG40" s="85">
        <f>AG35/(AG36-AG37)</f>
        <v>7.1428571428571432</v>
      </c>
      <c r="AH40" s="251"/>
      <c r="AI40" s="85">
        <f>AI35/(AI36-AI37)</f>
        <v>6.4</v>
      </c>
      <c r="AJ40" s="84">
        <f>AJ35/(AJ36-AJ37)</f>
        <v>2</v>
      </c>
      <c r="AK40" s="79">
        <f>AK35/(AK36-AK37)</f>
        <v>7</v>
      </c>
      <c r="AL40" s="79">
        <f>AL35/(AL36-AL37)</f>
        <v>8</v>
      </c>
      <c r="AM40" s="80">
        <f>AM35/(AM36-AM37)</f>
        <v>8</v>
      </c>
      <c r="AN40" s="248"/>
      <c r="AO40" s="64" t="s">
        <v>8</v>
      </c>
      <c r="AP40" s="84">
        <f>AP35/(AP36-AP37)</f>
        <v>6.5</v>
      </c>
      <c r="AQ40" s="84">
        <f>AQ35/(AQ36-AQ37)</f>
        <v>6</v>
      </c>
      <c r="AR40" s="84">
        <f>AR35/(AR36-AR37)</f>
        <v>8.5</v>
      </c>
      <c r="AS40" s="84">
        <f>AS35/(AS36-AS37)</f>
        <v>2</v>
      </c>
      <c r="AT40" s="85">
        <f>AT35/(AT36-AT37)</f>
        <v>6.25</v>
      </c>
      <c r="AU40" s="251"/>
      <c r="AV40" s="85">
        <f>AV35/(AV36-AV37)</f>
        <v>5</v>
      </c>
      <c r="AW40" s="84">
        <f>AW35/(AW36-AW37)</f>
        <v>2.5</v>
      </c>
      <c r="AX40" s="79">
        <f>AX35/(AX36-AX37)</f>
        <v>7.5</v>
      </c>
      <c r="AY40" s="553">
        <f>AY35/(AY36-AY37)</f>
        <v>5.5</v>
      </c>
      <c r="AZ40" s="80">
        <f>AZ35/(AZ36-AZ37)</f>
        <v>4</v>
      </c>
      <c r="BA40" s="249"/>
      <c r="BB40" s="539" t="s">
        <v>8</v>
      </c>
      <c r="BC40" s="558">
        <f>BC35/(BC36-BC37)</f>
        <v>7</v>
      </c>
      <c r="BD40" s="558">
        <f>BD35/(BD36-BD37)</f>
        <v>12</v>
      </c>
      <c r="BE40" s="558">
        <f>BE35/(BE36-BE37)</f>
        <v>12</v>
      </c>
      <c r="BF40" s="660">
        <v>0</v>
      </c>
      <c r="BG40" s="559">
        <f>BG35/(BG36-BG37)</f>
        <v>10</v>
      </c>
      <c r="BH40" s="607"/>
      <c r="BI40" s="559">
        <f>BI35/(BI36-BI37)</f>
        <v>8.4</v>
      </c>
      <c r="BJ40" s="558">
        <f>BJ35/(BJ36-BJ37)</f>
        <v>7</v>
      </c>
      <c r="BK40" s="553">
        <f>BK35/(BK36-BK37)</f>
        <v>12</v>
      </c>
      <c r="BL40" s="553">
        <f>BL35/(BL36-BL37)</f>
        <v>5</v>
      </c>
      <c r="BM40" s="554">
        <f>BM35/(BM36-BM37)</f>
        <v>11</v>
      </c>
      <c r="BN40" s="605"/>
      <c r="BO40" s="539" t="s">
        <v>8</v>
      </c>
      <c r="BP40" s="558">
        <f>BP35/(BP36-BP37)</f>
        <v>11</v>
      </c>
      <c r="BQ40" s="558">
        <f>BQ35/(BQ36-BQ37)</f>
        <v>9</v>
      </c>
      <c r="BR40" s="558">
        <f>BR35/(BR36-BR37)</f>
        <v>10</v>
      </c>
      <c r="BS40" s="660">
        <v>0</v>
      </c>
      <c r="BT40" s="559">
        <f>BT35/(BT36-BT37)</f>
        <v>10</v>
      </c>
      <c r="BU40" s="607"/>
      <c r="BV40" s="559">
        <f>BV35/(BV36-BV37)</f>
        <v>3.75</v>
      </c>
      <c r="BW40" s="558">
        <f>BW35/(BW36-BW37)</f>
        <v>8</v>
      </c>
      <c r="BX40" s="553">
        <f>BX35/(BX36-BX37)</f>
        <v>4</v>
      </c>
      <c r="BY40" s="553">
        <f>BY35/(BY36-BY37)</f>
        <v>2</v>
      </c>
      <c r="BZ40" s="554">
        <f>BZ35/(BZ36-BZ37)</f>
        <v>1</v>
      </c>
      <c r="CA40" s="605"/>
      <c r="CB40" s="539" t="s">
        <v>8</v>
      </c>
      <c r="CC40" s="558">
        <f>CC35/(CC36-CC37)</f>
        <v>8.5</v>
      </c>
      <c r="CD40" s="558">
        <f>CD35/(CD36-CD37)</f>
        <v>12</v>
      </c>
      <c r="CE40" s="558">
        <f>CE35/(CE36-CE37)</f>
        <v>6</v>
      </c>
      <c r="CF40" s="558">
        <f>CF35/(CF36-CF37)</f>
        <v>3</v>
      </c>
      <c r="CG40" s="559">
        <f>CG35/(CG36-CG37)</f>
        <v>8.3333333333333339</v>
      </c>
      <c r="CH40" s="607"/>
      <c r="CI40" s="559">
        <f>CI35/(CI36-CI37)</f>
        <v>6.75</v>
      </c>
      <c r="CJ40" s="558">
        <f>CJ35/(CJ36-CJ37)</f>
        <v>4.5</v>
      </c>
      <c r="CK40" s="553">
        <f>CK35/(CK36-CK37)</f>
        <v>12</v>
      </c>
      <c r="CL40" s="553">
        <f>CL35/(CL36-CL37)</f>
        <v>6</v>
      </c>
      <c r="CM40" s="671">
        <v>0</v>
      </c>
      <c r="CN40" s="605"/>
    </row>
    <row r="41" spans="1:92" ht="15">
      <c r="A41" s="261"/>
      <c r="B41" s="50"/>
      <c r="C41" s="34"/>
      <c r="D41" s="34"/>
      <c r="E41" s="34"/>
      <c r="F41" s="34"/>
      <c r="G41" s="250"/>
      <c r="H41" s="248"/>
      <c r="I41" s="248"/>
      <c r="J41" s="248"/>
      <c r="K41" s="248"/>
      <c r="L41" s="248"/>
      <c r="M41" s="248" t="s">
        <v>182</v>
      </c>
      <c r="N41" s="248"/>
      <c r="O41" s="50"/>
      <c r="P41" s="34"/>
      <c r="Q41" s="34"/>
      <c r="R41" s="34"/>
      <c r="S41" s="34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48"/>
      <c r="AL41" s="248"/>
      <c r="AM41" s="248"/>
      <c r="AN41" s="248"/>
      <c r="AO41" s="248"/>
      <c r="AP41" s="248"/>
      <c r="AQ41" s="248"/>
      <c r="AR41" s="248"/>
      <c r="AS41" s="248"/>
      <c r="AT41" s="248"/>
      <c r="AU41" s="248"/>
      <c r="AV41" s="248"/>
      <c r="AW41" s="248"/>
      <c r="AX41" s="248"/>
      <c r="AY41" s="248"/>
      <c r="AZ41" s="248"/>
      <c r="BA41" s="249"/>
      <c r="BB41" s="604"/>
      <c r="BC41" s="604"/>
      <c r="BD41" s="604"/>
      <c r="BE41" s="604"/>
      <c r="BF41" s="604"/>
      <c r="BG41" s="604"/>
      <c r="BH41" s="604"/>
      <c r="BI41" s="604"/>
      <c r="BJ41" s="604"/>
      <c r="BK41" s="604"/>
      <c r="BL41" s="604"/>
      <c r="BM41" s="604"/>
      <c r="BN41" s="605"/>
      <c r="BO41" s="604"/>
      <c r="BP41" s="604"/>
      <c r="BQ41" s="604"/>
      <c r="BR41" s="604"/>
      <c r="BS41" s="604"/>
      <c r="BT41" s="604"/>
      <c r="BU41" s="604"/>
      <c r="BV41" s="604"/>
      <c r="BW41" s="604"/>
      <c r="BX41" s="604"/>
      <c r="BY41" s="604"/>
      <c r="BZ41" s="604"/>
      <c r="CA41" s="605"/>
      <c r="CB41" s="604"/>
      <c r="CC41" s="604"/>
      <c r="CD41" s="604"/>
      <c r="CE41" s="604"/>
      <c r="CF41" s="604"/>
      <c r="CG41" s="604"/>
      <c r="CH41" s="604"/>
      <c r="CI41" s="604"/>
      <c r="CJ41" s="604"/>
      <c r="CK41" s="604"/>
      <c r="CL41" s="604"/>
      <c r="CM41" s="604"/>
      <c r="CN41" s="605"/>
    </row>
    <row r="42" spans="1:92">
      <c r="A42" s="1537" t="s">
        <v>97</v>
      </c>
      <c r="B42" s="251"/>
      <c r="C42" s="1535" t="s">
        <v>97</v>
      </c>
      <c r="D42" s="1535"/>
      <c r="E42" s="1535"/>
      <c r="F42" s="1535"/>
      <c r="G42" s="251"/>
      <c r="H42" s="251"/>
      <c r="I42" s="251"/>
      <c r="J42" s="1536" t="s">
        <v>117</v>
      </c>
      <c r="K42" s="1536"/>
      <c r="L42" s="1536"/>
      <c r="M42" s="1536"/>
      <c r="N42" s="248"/>
      <c r="O42" s="251"/>
      <c r="P42" s="1536" t="s">
        <v>97</v>
      </c>
      <c r="Q42" s="1536"/>
      <c r="R42" s="1536"/>
      <c r="S42" s="1536"/>
      <c r="T42" s="251"/>
      <c r="U42" s="251"/>
      <c r="V42" s="251"/>
      <c r="W42" s="1535" t="s">
        <v>103</v>
      </c>
      <c r="X42" s="1535"/>
      <c r="Y42" s="1535"/>
      <c r="Z42" s="1535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248"/>
      <c r="AM42" s="248"/>
      <c r="AN42" s="248"/>
      <c r="AO42" s="251"/>
      <c r="AP42" s="1536" t="s">
        <v>97</v>
      </c>
      <c r="AQ42" s="1536"/>
      <c r="AR42" s="1536"/>
      <c r="AS42" s="1536"/>
      <c r="AT42" s="251"/>
      <c r="AU42" s="251"/>
      <c r="AV42" s="251"/>
      <c r="AW42" s="1535" t="s">
        <v>130</v>
      </c>
      <c r="AX42" s="1535"/>
      <c r="AY42" s="1535"/>
      <c r="AZ42" s="1535"/>
      <c r="BA42" s="249"/>
      <c r="BB42" s="607"/>
      <c r="BC42" s="1535" t="s">
        <v>97</v>
      </c>
      <c r="BD42" s="1535"/>
      <c r="BE42" s="1535"/>
      <c r="BF42" s="1535"/>
      <c r="BG42" s="607"/>
      <c r="BH42" s="607"/>
      <c r="BI42" s="607"/>
      <c r="BJ42" s="1536" t="s">
        <v>143</v>
      </c>
      <c r="BK42" s="1536"/>
      <c r="BL42" s="1536"/>
      <c r="BM42" s="1536"/>
      <c r="BN42" s="605"/>
      <c r="BO42" s="607"/>
      <c r="BP42" s="1536" t="s">
        <v>97</v>
      </c>
      <c r="BQ42" s="1536"/>
      <c r="BR42" s="1536"/>
      <c r="BS42" s="1536"/>
      <c r="BT42" s="607"/>
      <c r="BU42" s="607"/>
      <c r="BV42" s="607"/>
      <c r="BW42" s="1535" t="s">
        <v>105</v>
      </c>
      <c r="BX42" s="1535"/>
      <c r="BY42" s="1535"/>
      <c r="BZ42" s="1535"/>
      <c r="CA42" s="605"/>
      <c r="CB42" s="607"/>
      <c r="CC42" s="1536" t="s">
        <v>97</v>
      </c>
      <c r="CD42" s="1536"/>
      <c r="CE42" s="1536"/>
      <c r="CF42" s="1536"/>
      <c r="CG42" s="607"/>
      <c r="CH42" s="607"/>
      <c r="CI42" s="607"/>
      <c r="CJ42" s="1535" t="s">
        <v>112</v>
      </c>
      <c r="CK42" s="1535"/>
      <c r="CL42" s="1535"/>
      <c r="CM42" s="1535"/>
      <c r="CN42" s="605"/>
    </row>
    <row r="43" spans="1:92" ht="15">
      <c r="A43" s="1537"/>
      <c r="B43" s="40"/>
      <c r="C43" s="92">
        <v>1</v>
      </c>
      <c r="D43" s="93">
        <v>2</v>
      </c>
      <c r="E43" s="94">
        <v>3</v>
      </c>
      <c r="F43" s="245">
        <v>4</v>
      </c>
      <c r="G43" s="41">
        <f>IF(COUNTIF(G45:G57,"&gt;37")=0,0,COUNTIF(G45:G57,"&gt;37")-1)</f>
        <v>0</v>
      </c>
      <c r="H43" s="251"/>
      <c r="I43" s="41">
        <f>IF(COUNTIF(I45:I57,"&gt;37")=0,0,COUNTIF(I45:I57,"&gt;37")-1)</f>
        <v>1</v>
      </c>
      <c r="J43" s="86">
        <v>1</v>
      </c>
      <c r="K43" s="87">
        <v>2</v>
      </c>
      <c r="L43" s="88">
        <v>3</v>
      </c>
      <c r="M43" s="246">
        <v>4</v>
      </c>
      <c r="N43" s="248"/>
      <c r="O43" s="40"/>
      <c r="P43" s="86">
        <v>1</v>
      </c>
      <c r="Q43" s="87">
        <v>2</v>
      </c>
      <c r="R43" s="88">
        <v>3</v>
      </c>
      <c r="S43" s="246">
        <v>4</v>
      </c>
      <c r="T43" s="41">
        <f>IF(COUNTIF(T45:T57,"&gt;37")=0,0,COUNTIF(T45:T57,"&gt;37")-1)</f>
        <v>1</v>
      </c>
      <c r="U43" s="251"/>
      <c r="V43" s="41">
        <f>IF(COUNTIF(V45:V57,"&gt;37")=0,0,COUNTIF(V45:V57,"&gt;37")-1)</f>
        <v>0</v>
      </c>
      <c r="W43" s="92">
        <v>1</v>
      </c>
      <c r="X43" s="93">
        <v>2</v>
      </c>
      <c r="Y43" s="94">
        <v>3</v>
      </c>
      <c r="Z43" s="245">
        <v>4</v>
      </c>
      <c r="AA43" s="248"/>
      <c r="AB43" s="50"/>
      <c r="AC43" s="39"/>
      <c r="AD43" s="39"/>
      <c r="AE43" s="39"/>
      <c r="AF43" s="39"/>
      <c r="AG43" s="38"/>
      <c r="AH43" s="248"/>
      <c r="AI43" s="256"/>
      <c r="AJ43" s="34"/>
      <c r="AK43" s="38"/>
      <c r="AL43" s="38"/>
      <c r="AM43" s="34"/>
      <c r="AN43" s="248"/>
      <c r="AO43" s="40"/>
      <c r="AP43" s="86">
        <v>1</v>
      </c>
      <c r="AQ43" s="87">
        <v>2</v>
      </c>
      <c r="AR43" s="88">
        <v>3</v>
      </c>
      <c r="AS43" s="246">
        <v>4</v>
      </c>
      <c r="AT43" s="41">
        <f>IF(COUNTIF(AT45:AT57,"&gt;37")=0,0,COUNTIF(AT45:AT57,"&gt;37")-1)</f>
        <v>2</v>
      </c>
      <c r="AU43" s="251"/>
      <c r="AV43" s="41">
        <f>IF(COUNTIF(AV45:AV57,"&gt;37")=0,0,COUNTIF(AV45:AV57,"&gt;37")-1)</f>
        <v>0</v>
      </c>
      <c r="AW43" s="92">
        <v>1</v>
      </c>
      <c r="AX43" s="93">
        <v>2</v>
      </c>
      <c r="AY43" s="94">
        <v>3</v>
      </c>
      <c r="AZ43" s="245">
        <v>4</v>
      </c>
      <c r="BA43" s="262"/>
      <c r="BB43" s="522"/>
      <c r="BC43" s="568">
        <v>1</v>
      </c>
      <c r="BD43" s="569">
        <v>2</v>
      </c>
      <c r="BE43" s="570">
        <v>3</v>
      </c>
      <c r="BF43" s="603">
        <v>4</v>
      </c>
      <c r="BG43" s="523">
        <f>IF(COUNTIF(BG45:BG58,"&gt;37")=0,0,COUNTIF(BG45:BG58,"&gt;37")-1)</f>
        <v>1</v>
      </c>
      <c r="BH43" s="607"/>
      <c r="BI43" s="523">
        <f>IF(COUNTIF(BI45:BI58,"&gt;37")=0,0,COUNTIF(BI45:BI58,"&gt;37")-1)</f>
        <v>5</v>
      </c>
      <c r="BJ43" s="560">
        <v>1</v>
      </c>
      <c r="BK43" s="561">
        <v>2</v>
      </c>
      <c r="BL43" s="562">
        <v>3</v>
      </c>
      <c r="BM43" s="566">
        <v>4</v>
      </c>
      <c r="BN43" s="618"/>
      <c r="BO43" s="522"/>
      <c r="BP43" s="560">
        <v>1</v>
      </c>
      <c r="BQ43" s="561">
        <v>2</v>
      </c>
      <c r="BR43" s="562">
        <v>3</v>
      </c>
      <c r="BS43" s="566">
        <v>4</v>
      </c>
      <c r="BT43" s="523">
        <f>IF(COUNTIF(BT45:BT57,"&gt;37")=0,0,COUNTIF(BT45:BT57,"&gt;37")-1)</f>
        <v>4</v>
      </c>
      <c r="BU43" s="607"/>
      <c r="BV43" s="523">
        <f>IF(COUNTIF(BV45:BV57,"&gt;37")=0,0,COUNTIF(BV45:BV57,"&gt;37")-1)</f>
        <v>0</v>
      </c>
      <c r="BW43" s="568">
        <v>1</v>
      </c>
      <c r="BX43" s="569">
        <v>2</v>
      </c>
      <c r="BY43" s="570">
        <v>3</v>
      </c>
      <c r="BZ43" s="603">
        <v>4</v>
      </c>
      <c r="CA43" s="618"/>
      <c r="CB43" s="522"/>
      <c r="CC43" s="560">
        <v>1</v>
      </c>
      <c r="CD43" s="561">
        <v>2</v>
      </c>
      <c r="CE43" s="562">
        <v>3</v>
      </c>
      <c r="CF43" s="566">
        <v>4</v>
      </c>
      <c r="CG43" s="523">
        <f>IF(COUNTIF(CG45:CG57,"&gt;37")=0,0,COUNTIF(CG45:CG57,"&gt;37")-1)</f>
        <v>2</v>
      </c>
      <c r="CH43" s="607"/>
      <c r="CI43" s="523">
        <f>IF(COUNTIF(CI45:CI57,"&gt;37")=0,0,COUNTIF(CI45:CI57,"&gt;37")-1)</f>
        <v>0</v>
      </c>
      <c r="CJ43" s="568">
        <v>1</v>
      </c>
      <c r="CK43" s="569">
        <v>2</v>
      </c>
      <c r="CL43" s="570">
        <v>3</v>
      </c>
      <c r="CM43" s="603">
        <v>4</v>
      </c>
      <c r="CN43" s="618"/>
    </row>
    <row r="44" spans="1:92" ht="60.75">
      <c r="A44" s="1537"/>
      <c r="B44" s="47"/>
      <c r="C44" s="592" t="s">
        <v>0</v>
      </c>
      <c r="D44" s="592" t="s">
        <v>56</v>
      </c>
      <c r="E44" s="592" t="s">
        <v>1</v>
      </c>
      <c r="F44" s="592" t="s">
        <v>53</v>
      </c>
      <c r="G44" s="254"/>
      <c r="H44" s="254"/>
      <c r="I44" s="254"/>
      <c r="J44" s="475" t="s">
        <v>120</v>
      </c>
      <c r="K44" s="475" t="s">
        <v>121</v>
      </c>
      <c r="L44" s="475" t="s">
        <v>118</v>
      </c>
      <c r="M44" s="475" t="s">
        <v>119</v>
      </c>
      <c r="N44" s="252"/>
      <c r="O44" s="47"/>
      <c r="P44" s="475" t="s">
        <v>1</v>
      </c>
      <c r="Q44" s="475" t="s">
        <v>53</v>
      </c>
      <c r="R44" s="475" t="s">
        <v>0</v>
      </c>
      <c r="S44" s="475" t="s">
        <v>56</v>
      </c>
      <c r="T44" s="254"/>
      <c r="U44" s="254"/>
      <c r="V44" s="254"/>
      <c r="W44" s="592" t="s">
        <v>1</v>
      </c>
      <c r="X44" s="592" t="s">
        <v>104</v>
      </c>
      <c r="Y44" s="592" t="s">
        <v>53</v>
      </c>
      <c r="Z44" s="592" t="s">
        <v>96</v>
      </c>
      <c r="AA44" s="252"/>
      <c r="AB44" s="42"/>
      <c r="AC44" s="46"/>
      <c r="AD44" s="253"/>
      <c r="AE44" s="253"/>
      <c r="AF44" s="45"/>
      <c r="AG44" s="44"/>
      <c r="AH44" s="252"/>
      <c r="AI44" s="256"/>
      <c r="AJ44" s="34"/>
      <c r="AK44" s="38"/>
      <c r="AL44" s="38"/>
      <c r="AM44" s="34"/>
      <c r="AN44" s="252"/>
      <c r="AO44" s="47"/>
      <c r="AP44" s="475" t="s">
        <v>53</v>
      </c>
      <c r="AQ44" s="475" t="s">
        <v>0</v>
      </c>
      <c r="AR44" s="475" t="s">
        <v>56</v>
      </c>
      <c r="AS44" s="475" t="s">
        <v>1</v>
      </c>
      <c r="AT44" s="254"/>
      <c r="AU44" s="254"/>
      <c r="AV44" s="254"/>
      <c r="AW44" s="592" t="s">
        <v>99</v>
      </c>
      <c r="AX44" s="592" t="s">
        <v>113</v>
      </c>
      <c r="AY44" s="592" t="s">
        <v>101</v>
      </c>
      <c r="AZ44" s="592" t="s">
        <v>102</v>
      </c>
      <c r="BA44" s="249"/>
      <c r="BB44" s="526"/>
      <c r="BC44" s="592" t="s">
        <v>53</v>
      </c>
      <c r="BD44" s="592" t="s">
        <v>0</v>
      </c>
      <c r="BE44" s="592" t="s">
        <v>56</v>
      </c>
      <c r="BF44" s="592" t="s">
        <v>1</v>
      </c>
      <c r="BG44" s="610"/>
      <c r="BH44" s="610"/>
      <c r="BI44" s="610"/>
      <c r="BJ44" s="475" t="s">
        <v>54</v>
      </c>
      <c r="BK44" s="475" t="s">
        <v>57</v>
      </c>
      <c r="BL44" s="475" t="s">
        <v>115</v>
      </c>
      <c r="BM44" s="475" t="s">
        <v>116</v>
      </c>
      <c r="BN44" s="605"/>
      <c r="BO44" s="526"/>
      <c r="BP44" s="475" t="s">
        <v>53</v>
      </c>
      <c r="BQ44" s="475" t="s">
        <v>0</v>
      </c>
      <c r="BR44" s="475" t="s">
        <v>56</v>
      </c>
      <c r="BS44" s="475" t="s">
        <v>1</v>
      </c>
      <c r="BT44" s="576"/>
      <c r="BU44" s="577"/>
      <c r="BV44" s="519"/>
      <c r="BW44" s="592" t="s">
        <v>106</v>
      </c>
      <c r="BX44" s="592" t="s">
        <v>55</v>
      </c>
      <c r="BY44" s="592" t="s">
        <v>107</v>
      </c>
      <c r="BZ44" s="592" t="s">
        <v>108</v>
      </c>
      <c r="CA44" s="605"/>
      <c r="CB44" s="526"/>
      <c r="CC44" s="475" t="s">
        <v>1</v>
      </c>
      <c r="CD44" s="475" t="s">
        <v>53</v>
      </c>
      <c r="CE44" s="475" t="s">
        <v>0</v>
      </c>
      <c r="CF44" s="475" t="s">
        <v>56</v>
      </c>
      <c r="CG44" s="610"/>
      <c r="CH44" s="610"/>
      <c r="CI44" s="610"/>
      <c r="CJ44" s="592" t="s">
        <v>109</v>
      </c>
      <c r="CK44" s="592" t="s">
        <v>110</v>
      </c>
      <c r="CL44" s="592" t="s">
        <v>111</v>
      </c>
      <c r="CM44" s="592" t="s">
        <v>57</v>
      </c>
      <c r="CN44" s="605"/>
    </row>
    <row r="45" spans="1:92" ht="15">
      <c r="A45" s="1537"/>
      <c r="B45" s="51">
        <v>1</v>
      </c>
      <c r="C45" s="531">
        <v>12</v>
      </c>
      <c r="D45" s="532"/>
      <c r="E45" s="532"/>
      <c r="F45" s="563"/>
      <c r="G45" s="257">
        <f>SUM(C$45:F45)</f>
        <v>12</v>
      </c>
      <c r="H45" s="258">
        <f t="shared" ref="H45:H52" si="12">G45-I45</f>
        <v>5</v>
      </c>
      <c r="I45" s="259">
        <f>SUM(J$45:M45)</f>
        <v>7</v>
      </c>
      <c r="J45" s="531">
        <v>7</v>
      </c>
      <c r="K45" s="532"/>
      <c r="L45" s="532"/>
      <c r="M45" s="563"/>
      <c r="N45" s="248"/>
      <c r="O45" s="51">
        <v>1</v>
      </c>
      <c r="P45" s="531">
        <v>8</v>
      </c>
      <c r="Q45" s="532"/>
      <c r="R45" s="532"/>
      <c r="S45" s="563"/>
      <c r="T45" s="257">
        <f>SUM(P$45:S45)</f>
        <v>8</v>
      </c>
      <c r="U45" s="258">
        <f t="shared" ref="U45:U51" si="13">T45-V45</f>
        <v>0</v>
      </c>
      <c r="V45" s="259">
        <f>SUM(W$45:Z45)</f>
        <v>8</v>
      </c>
      <c r="W45" s="531">
        <v>8</v>
      </c>
      <c r="X45" s="532"/>
      <c r="Y45" s="532"/>
      <c r="Z45" s="563"/>
      <c r="AA45" s="248"/>
      <c r="AB45" s="50"/>
      <c r="AC45" s="38"/>
      <c r="AD45" s="34"/>
      <c r="AE45" s="34"/>
      <c r="AF45" s="34"/>
      <c r="AG45" s="256"/>
      <c r="AH45" s="248"/>
      <c r="AI45" s="256"/>
      <c r="AJ45" s="34"/>
      <c r="AK45" s="38"/>
      <c r="AL45" s="38"/>
      <c r="AM45" s="34"/>
      <c r="AN45" s="248"/>
      <c r="AO45" s="51">
        <v>1</v>
      </c>
      <c r="AP45" s="531">
        <v>11</v>
      </c>
      <c r="AQ45" s="532"/>
      <c r="AR45" s="532"/>
      <c r="AS45" s="563"/>
      <c r="AT45" s="257">
        <f>SUM(AP$45:AS45)</f>
        <v>11</v>
      </c>
      <c r="AU45" s="258">
        <f>AT45-AV45</f>
        <v>1</v>
      </c>
      <c r="AV45" s="259">
        <f>SUM(AW$45:AZ45)</f>
        <v>10</v>
      </c>
      <c r="AW45" s="531">
        <v>10</v>
      </c>
      <c r="AX45" s="532"/>
      <c r="AY45" s="532"/>
      <c r="AZ45" s="563"/>
      <c r="BA45" s="249"/>
      <c r="BB45" s="530">
        <v>1</v>
      </c>
      <c r="BC45" s="531">
        <v>8</v>
      </c>
      <c r="BD45" s="532"/>
      <c r="BE45" s="532"/>
      <c r="BF45" s="563"/>
      <c r="BG45" s="613">
        <f>SUM(BC$45:BF45)</f>
        <v>8</v>
      </c>
      <c r="BH45" s="614">
        <f>BG45-BI45</f>
        <v>-1</v>
      </c>
      <c r="BI45" s="615">
        <f>SUM(BJ$45:BM45)</f>
        <v>9</v>
      </c>
      <c r="BJ45" s="531">
        <v>9</v>
      </c>
      <c r="BK45" s="532"/>
      <c r="BL45" s="532"/>
      <c r="BM45" s="563"/>
      <c r="BN45" s="605"/>
      <c r="BO45" s="530">
        <v>1</v>
      </c>
      <c r="BP45" s="531">
        <v>10</v>
      </c>
      <c r="BQ45" s="532"/>
      <c r="BR45" s="532"/>
      <c r="BS45" s="563"/>
      <c r="BT45" s="613">
        <f>SUM(BP$45:BS45)</f>
        <v>10</v>
      </c>
      <c r="BU45" s="614">
        <f>BT45-BV45</f>
        <v>2</v>
      </c>
      <c r="BV45" s="615">
        <f>SUM(BW$45:BZ45)</f>
        <v>8</v>
      </c>
      <c r="BW45" s="531">
        <v>8</v>
      </c>
      <c r="BX45" s="532"/>
      <c r="BY45" s="532"/>
      <c r="BZ45" s="563"/>
      <c r="CA45" s="605"/>
      <c r="CB45" s="530">
        <v>1</v>
      </c>
      <c r="CC45" s="531">
        <v>4</v>
      </c>
      <c r="CD45" s="532"/>
      <c r="CE45" s="532"/>
      <c r="CF45" s="563"/>
      <c r="CG45" s="613">
        <f>SUM(CC$45:CF45)</f>
        <v>4</v>
      </c>
      <c r="CH45" s="614">
        <f>CG45-CI45</f>
        <v>2</v>
      </c>
      <c r="CI45" s="615">
        <f>SUM(CJ$45:CM45)</f>
        <v>2</v>
      </c>
      <c r="CJ45" s="531">
        <v>2</v>
      </c>
      <c r="CK45" s="532"/>
      <c r="CL45" s="532"/>
      <c r="CM45" s="563"/>
      <c r="CN45" s="605"/>
    </row>
    <row r="46" spans="1:92" ht="15">
      <c r="A46" s="1537"/>
      <c r="B46" s="56">
        <v>2</v>
      </c>
      <c r="C46" s="532"/>
      <c r="D46" s="531" t="s">
        <v>2</v>
      </c>
      <c r="E46" s="532"/>
      <c r="F46" s="532"/>
      <c r="G46" s="257">
        <f>SUM(C$45:F46)</f>
        <v>12</v>
      </c>
      <c r="H46" s="258">
        <f t="shared" si="12"/>
        <v>-3</v>
      </c>
      <c r="I46" s="259">
        <f>SUM(J$45:M46)</f>
        <v>15</v>
      </c>
      <c r="J46" s="532"/>
      <c r="K46" s="531">
        <v>8</v>
      </c>
      <c r="L46" s="532"/>
      <c r="M46" s="532"/>
      <c r="N46" s="248"/>
      <c r="O46" s="56">
        <v>2</v>
      </c>
      <c r="P46" s="532"/>
      <c r="Q46" s="531">
        <v>7</v>
      </c>
      <c r="R46" s="532"/>
      <c r="S46" s="532"/>
      <c r="T46" s="257">
        <f>SUM(P$45:S46)</f>
        <v>15</v>
      </c>
      <c r="U46" s="258">
        <f t="shared" si="13"/>
        <v>-3</v>
      </c>
      <c r="V46" s="259">
        <f>SUM(W$45:Z46)</f>
        <v>18</v>
      </c>
      <c r="W46" s="532"/>
      <c r="X46" s="531">
        <v>10</v>
      </c>
      <c r="Y46" s="532"/>
      <c r="Z46" s="532"/>
      <c r="AA46" s="248"/>
      <c r="AB46" s="50"/>
      <c r="AC46" s="34"/>
      <c r="AD46" s="38"/>
      <c r="AE46" s="38"/>
      <c r="AF46" s="34"/>
      <c r="AG46" s="256"/>
      <c r="AH46" s="248"/>
      <c r="AI46" s="256"/>
      <c r="AJ46" s="34"/>
      <c r="AK46" s="38"/>
      <c r="AL46" s="38"/>
      <c r="AM46" s="34"/>
      <c r="AN46" s="248"/>
      <c r="AO46" s="56">
        <v>2</v>
      </c>
      <c r="AP46" s="532"/>
      <c r="AQ46" s="531" t="s">
        <v>2</v>
      </c>
      <c r="AR46" s="532"/>
      <c r="AS46" s="532"/>
      <c r="AT46" s="257">
        <f>SUM(AP$45:AS46)</f>
        <v>11</v>
      </c>
      <c r="AU46" s="258">
        <f t="shared" ref="AU46:AU51" si="14">AT46-AV46</f>
        <v>-1</v>
      </c>
      <c r="AV46" s="259">
        <f>SUM(AW$45:AZ46)</f>
        <v>12</v>
      </c>
      <c r="AW46" s="532"/>
      <c r="AX46" s="531">
        <v>2</v>
      </c>
      <c r="AY46" s="532"/>
      <c r="AZ46" s="532"/>
      <c r="BA46" s="249"/>
      <c r="BB46" s="533">
        <v>2</v>
      </c>
      <c r="BC46" s="532"/>
      <c r="BD46" s="531">
        <v>2</v>
      </c>
      <c r="BE46" s="532"/>
      <c r="BF46" s="532"/>
      <c r="BG46" s="613">
        <f>SUM(BC$45:BF46)</f>
        <v>10</v>
      </c>
      <c r="BH46" s="614">
        <f t="shared" ref="BH46:BH52" si="15">BG46-BI46</f>
        <v>-7</v>
      </c>
      <c r="BI46" s="615">
        <f>SUM(BJ$45:BM46)</f>
        <v>17</v>
      </c>
      <c r="BJ46" s="532"/>
      <c r="BK46" s="531">
        <v>8</v>
      </c>
      <c r="BL46" s="532"/>
      <c r="BM46" s="532"/>
      <c r="BN46" s="605"/>
      <c r="BO46" s="533">
        <v>2</v>
      </c>
      <c r="BP46" s="532"/>
      <c r="BQ46" s="531">
        <v>8</v>
      </c>
      <c r="BR46" s="532"/>
      <c r="BS46" s="532"/>
      <c r="BT46" s="613">
        <f>SUM(BP$45:BS46)</f>
        <v>18</v>
      </c>
      <c r="BU46" s="614">
        <f t="shared" ref="BU46:BU52" si="16">BT46-BV46</f>
        <v>4</v>
      </c>
      <c r="BV46" s="615">
        <f>SUM(BW$45:BZ46)</f>
        <v>14</v>
      </c>
      <c r="BW46" s="532"/>
      <c r="BX46" s="531">
        <v>6</v>
      </c>
      <c r="BY46" s="532"/>
      <c r="BZ46" s="532"/>
      <c r="CA46" s="605"/>
      <c r="CB46" s="533">
        <v>2</v>
      </c>
      <c r="CC46" s="532"/>
      <c r="CD46" s="531">
        <v>9</v>
      </c>
      <c r="CE46" s="532"/>
      <c r="CF46" s="532"/>
      <c r="CG46" s="613">
        <f>SUM(CC$45:CF46)</f>
        <v>13</v>
      </c>
      <c r="CH46" s="614">
        <f t="shared" ref="CH46:CH52" si="17">CG46-CI46</f>
        <v>8</v>
      </c>
      <c r="CI46" s="615">
        <f>SUM(CJ$45:CM46)</f>
        <v>5</v>
      </c>
      <c r="CJ46" s="532"/>
      <c r="CK46" s="531">
        <v>3</v>
      </c>
      <c r="CL46" s="532"/>
      <c r="CM46" s="532"/>
      <c r="CN46" s="605"/>
    </row>
    <row r="47" spans="1:92" ht="15">
      <c r="A47" s="1537"/>
      <c r="B47" s="56">
        <v>3</v>
      </c>
      <c r="C47" s="531"/>
      <c r="D47" s="532"/>
      <c r="E47" s="532" t="s">
        <v>2</v>
      </c>
      <c r="F47" s="563"/>
      <c r="G47" s="257">
        <f>SUM(C$45:F47)</f>
        <v>12</v>
      </c>
      <c r="H47" s="258">
        <f t="shared" si="12"/>
        <v>-5</v>
      </c>
      <c r="I47" s="259">
        <f>SUM(J$45:M47)</f>
        <v>17</v>
      </c>
      <c r="J47" s="531"/>
      <c r="K47" s="532"/>
      <c r="L47" s="532">
        <v>2</v>
      </c>
      <c r="M47" s="563"/>
      <c r="N47" s="248"/>
      <c r="O47" s="56">
        <v>3</v>
      </c>
      <c r="P47" s="531"/>
      <c r="Q47" s="532"/>
      <c r="R47" s="532">
        <v>10</v>
      </c>
      <c r="S47" s="563"/>
      <c r="T47" s="257">
        <f>SUM(P$45:S47)</f>
        <v>25</v>
      </c>
      <c r="U47" s="258">
        <f t="shared" si="13"/>
        <v>7</v>
      </c>
      <c r="V47" s="259">
        <f>SUM(W$45:Z47)</f>
        <v>18</v>
      </c>
      <c r="W47" s="531"/>
      <c r="X47" s="532"/>
      <c r="Y47" s="532" t="s">
        <v>2</v>
      </c>
      <c r="Z47" s="563"/>
      <c r="AA47" s="248"/>
      <c r="AB47" s="50"/>
      <c r="AC47" s="38"/>
      <c r="AD47" s="34"/>
      <c r="AE47" s="34"/>
      <c r="AF47" s="34"/>
      <c r="AG47" s="256"/>
      <c r="AH47" s="248"/>
      <c r="AI47" s="256"/>
      <c r="AJ47" s="34"/>
      <c r="AK47" s="38"/>
      <c r="AL47" s="38"/>
      <c r="AM47" s="34"/>
      <c r="AN47" s="248"/>
      <c r="AO47" s="56">
        <v>3</v>
      </c>
      <c r="AP47" s="531"/>
      <c r="AQ47" s="532"/>
      <c r="AR47" s="532">
        <v>12</v>
      </c>
      <c r="AS47" s="563"/>
      <c r="AT47" s="257">
        <f>SUM(AP$45:AS47)</f>
        <v>23</v>
      </c>
      <c r="AU47" s="258">
        <f t="shared" si="14"/>
        <v>8</v>
      </c>
      <c r="AV47" s="259">
        <f>SUM(AW$45:AZ47)</f>
        <v>15</v>
      </c>
      <c r="AW47" s="531"/>
      <c r="AX47" s="532"/>
      <c r="AY47" s="532">
        <v>3</v>
      </c>
      <c r="AZ47" s="563"/>
      <c r="BA47" s="249"/>
      <c r="BB47" s="533">
        <v>3</v>
      </c>
      <c r="BC47" s="531"/>
      <c r="BD47" s="532"/>
      <c r="BE47" s="532" t="s">
        <v>2</v>
      </c>
      <c r="BF47" s="563"/>
      <c r="BG47" s="613">
        <f>SUM(BC$45:BF47)</f>
        <v>10</v>
      </c>
      <c r="BH47" s="614">
        <f t="shared" si="15"/>
        <v>-9</v>
      </c>
      <c r="BI47" s="615">
        <f>SUM(BJ$45:BM47)</f>
        <v>19</v>
      </c>
      <c r="BJ47" s="531"/>
      <c r="BK47" s="532"/>
      <c r="BL47" s="532">
        <v>2</v>
      </c>
      <c r="BM47" s="563"/>
      <c r="BN47" s="605"/>
      <c r="BO47" s="533">
        <v>3</v>
      </c>
      <c r="BP47" s="531"/>
      <c r="BQ47" s="532"/>
      <c r="BR47" s="532">
        <v>5</v>
      </c>
      <c r="BS47" s="563"/>
      <c r="BT47" s="613">
        <f>SUM(BP$45:BS47)</f>
        <v>23</v>
      </c>
      <c r="BU47" s="614">
        <f t="shared" si="16"/>
        <v>9</v>
      </c>
      <c r="BV47" s="615">
        <f>SUM(BW$45:BZ47)</f>
        <v>14</v>
      </c>
      <c r="BW47" s="531"/>
      <c r="BX47" s="532"/>
      <c r="BY47" s="532" t="s">
        <v>2</v>
      </c>
      <c r="BZ47" s="563"/>
      <c r="CA47" s="605"/>
      <c r="CB47" s="533">
        <v>3</v>
      </c>
      <c r="CC47" s="531"/>
      <c r="CD47" s="532"/>
      <c r="CE47" s="532">
        <v>7</v>
      </c>
      <c r="CF47" s="563"/>
      <c r="CG47" s="613">
        <f>SUM(CC$45:CF47)</f>
        <v>20</v>
      </c>
      <c r="CH47" s="614">
        <f t="shared" si="17"/>
        <v>10</v>
      </c>
      <c r="CI47" s="615">
        <f>SUM(CJ$45:CM47)</f>
        <v>10</v>
      </c>
      <c r="CJ47" s="531"/>
      <c r="CK47" s="532"/>
      <c r="CL47" s="532">
        <v>5</v>
      </c>
      <c r="CM47" s="563"/>
      <c r="CN47" s="605"/>
    </row>
    <row r="48" spans="1:92" ht="15">
      <c r="A48" s="1537"/>
      <c r="B48" s="56">
        <v>4</v>
      </c>
      <c r="C48" s="532"/>
      <c r="D48" s="531"/>
      <c r="E48" s="532"/>
      <c r="F48" s="643">
        <v>3</v>
      </c>
      <c r="G48" s="257">
        <f>SUM(C$45:F48)</f>
        <v>15</v>
      </c>
      <c r="H48" s="258">
        <f t="shared" si="12"/>
        <v>-4</v>
      </c>
      <c r="I48" s="259">
        <f>SUM(J$45:M48)</f>
        <v>19</v>
      </c>
      <c r="J48" s="532"/>
      <c r="K48" s="531"/>
      <c r="L48" s="532"/>
      <c r="M48" s="532">
        <v>2</v>
      </c>
      <c r="N48" s="248"/>
      <c r="O48" s="56">
        <v>4</v>
      </c>
      <c r="P48" s="532"/>
      <c r="Q48" s="531"/>
      <c r="R48" s="532"/>
      <c r="S48" s="532">
        <v>5</v>
      </c>
      <c r="T48" s="257">
        <f>SUM(P$45:S48)</f>
        <v>30</v>
      </c>
      <c r="U48" s="258">
        <f t="shared" si="13"/>
        <v>7</v>
      </c>
      <c r="V48" s="259">
        <f>SUM(W$45:Z48)</f>
        <v>23</v>
      </c>
      <c r="W48" s="532"/>
      <c r="X48" s="531"/>
      <c r="Y48" s="532"/>
      <c r="Z48" s="532">
        <v>5</v>
      </c>
      <c r="AA48" s="248"/>
      <c r="AB48" s="50"/>
      <c r="AC48" s="34"/>
      <c r="AD48" s="38"/>
      <c r="AE48" s="38"/>
      <c r="AF48" s="34"/>
      <c r="AG48" s="256"/>
      <c r="AH48" s="248"/>
      <c r="AI48" s="256"/>
      <c r="AJ48" s="34"/>
      <c r="AK48" s="38"/>
      <c r="AL48" s="38"/>
      <c r="AM48" s="34"/>
      <c r="AN48" s="248"/>
      <c r="AO48" s="56">
        <v>4</v>
      </c>
      <c r="AP48" s="532"/>
      <c r="AQ48" s="531"/>
      <c r="AR48" s="532"/>
      <c r="AS48" s="532">
        <v>11</v>
      </c>
      <c r="AT48" s="257">
        <f>SUM(AP$45:AS48)</f>
        <v>34</v>
      </c>
      <c r="AU48" s="258">
        <f t="shared" si="14"/>
        <v>8</v>
      </c>
      <c r="AV48" s="259">
        <f>SUM(AW$45:AZ48)</f>
        <v>26</v>
      </c>
      <c r="AW48" s="532"/>
      <c r="AX48" s="531"/>
      <c r="AY48" s="532"/>
      <c r="AZ48" s="532">
        <v>11</v>
      </c>
      <c r="BA48" s="249"/>
      <c r="BB48" s="533">
        <v>4</v>
      </c>
      <c r="BC48" s="532"/>
      <c r="BD48" s="531"/>
      <c r="BE48" s="532"/>
      <c r="BF48" s="532" t="s">
        <v>2</v>
      </c>
      <c r="BG48" s="613">
        <f>SUM(BC$45:BF48)</f>
        <v>10</v>
      </c>
      <c r="BH48" s="614">
        <f t="shared" si="15"/>
        <v>-9</v>
      </c>
      <c r="BI48" s="615">
        <f>SUM(BJ$45:BM48)</f>
        <v>19</v>
      </c>
      <c r="BJ48" s="532"/>
      <c r="BK48" s="531"/>
      <c r="BL48" s="532"/>
      <c r="BM48" s="532" t="s">
        <v>2</v>
      </c>
      <c r="BN48" s="605"/>
      <c r="BO48" s="533">
        <v>4</v>
      </c>
      <c r="BP48" s="532"/>
      <c r="BQ48" s="531"/>
      <c r="BR48" s="532"/>
      <c r="BS48" s="532">
        <v>3</v>
      </c>
      <c r="BT48" s="613">
        <f>SUM(BP$45:BS48)</f>
        <v>26</v>
      </c>
      <c r="BU48" s="614">
        <f t="shared" si="16"/>
        <v>9</v>
      </c>
      <c r="BV48" s="615">
        <f>SUM(BW$45:BZ48)</f>
        <v>17</v>
      </c>
      <c r="BW48" s="532"/>
      <c r="BX48" s="531"/>
      <c r="BY48" s="532"/>
      <c r="BZ48" s="532">
        <v>3</v>
      </c>
      <c r="CA48" s="605"/>
      <c r="CB48" s="533">
        <v>4</v>
      </c>
      <c r="CC48" s="532"/>
      <c r="CD48" s="531"/>
      <c r="CE48" s="532"/>
      <c r="CF48" s="532">
        <v>2</v>
      </c>
      <c r="CG48" s="613">
        <f>SUM(CC$45:CF48)</f>
        <v>22</v>
      </c>
      <c r="CH48" s="614">
        <f t="shared" si="17"/>
        <v>12</v>
      </c>
      <c r="CI48" s="615">
        <f>SUM(CJ$45:CM48)</f>
        <v>10</v>
      </c>
      <c r="CJ48" s="532"/>
      <c r="CK48" s="531"/>
      <c r="CL48" s="532"/>
      <c r="CM48" s="532" t="s">
        <v>2</v>
      </c>
      <c r="CN48" s="605"/>
    </row>
    <row r="49" spans="1:92" ht="15">
      <c r="A49" s="1537"/>
      <c r="B49" s="56">
        <v>5</v>
      </c>
      <c r="C49" s="531">
        <v>2</v>
      </c>
      <c r="D49" s="532"/>
      <c r="E49" s="532"/>
      <c r="F49" s="563"/>
      <c r="G49" s="257">
        <f>SUM(C$45:F49)</f>
        <v>17</v>
      </c>
      <c r="H49" s="258">
        <f t="shared" si="12"/>
        <v>-13</v>
      </c>
      <c r="I49" s="259">
        <f>SUM(J$45:M49)</f>
        <v>30</v>
      </c>
      <c r="J49" s="531">
        <v>11</v>
      </c>
      <c r="K49" s="532"/>
      <c r="L49" s="532"/>
      <c r="M49" s="563"/>
      <c r="N49" s="248"/>
      <c r="O49" s="56">
        <v>5</v>
      </c>
      <c r="P49" s="531" t="s">
        <v>2</v>
      </c>
      <c r="Q49" s="532"/>
      <c r="R49" s="532"/>
      <c r="S49" s="563"/>
      <c r="T49" s="257">
        <f>SUM(P$45:S49)</f>
        <v>30</v>
      </c>
      <c r="U49" s="258">
        <f t="shared" si="13"/>
        <v>7</v>
      </c>
      <c r="V49" s="259">
        <f>SUM(W$45:Z49)</f>
        <v>23</v>
      </c>
      <c r="W49" s="531" t="s">
        <v>2</v>
      </c>
      <c r="X49" s="532"/>
      <c r="Y49" s="532"/>
      <c r="Z49" s="563"/>
      <c r="AA49" s="248"/>
      <c r="AB49" s="50"/>
      <c r="AC49" s="38"/>
      <c r="AD49" s="34"/>
      <c r="AE49" s="34"/>
      <c r="AF49" s="34"/>
      <c r="AG49" s="256"/>
      <c r="AH49" s="248"/>
      <c r="AI49" s="256"/>
      <c r="AJ49" s="38"/>
      <c r="AK49" s="34"/>
      <c r="AL49" s="34"/>
      <c r="AM49" s="34"/>
      <c r="AN49" s="248"/>
      <c r="AO49" s="56">
        <v>5</v>
      </c>
      <c r="AP49" s="531">
        <v>5</v>
      </c>
      <c r="AQ49" s="532"/>
      <c r="AR49" s="532"/>
      <c r="AS49" s="563"/>
      <c r="AT49" s="257">
        <f>SUM(AP$45:AS49)</f>
        <v>39</v>
      </c>
      <c r="AU49" s="258">
        <f t="shared" si="14"/>
        <v>13</v>
      </c>
      <c r="AV49" s="259">
        <f>SUM(AW$45:AZ49)</f>
        <v>26</v>
      </c>
      <c r="AW49" s="531" t="s">
        <v>2</v>
      </c>
      <c r="AX49" s="532"/>
      <c r="AY49" s="532"/>
      <c r="AZ49" s="563"/>
      <c r="BA49" s="249"/>
      <c r="BB49" s="533">
        <v>5</v>
      </c>
      <c r="BC49" s="661">
        <v>4</v>
      </c>
      <c r="BD49" s="532"/>
      <c r="BE49" s="532"/>
      <c r="BF49" s="563"/>
      <c r="BG49" s="613">
        <f>SUM(BC$45:BF49)</f>
        <v>14</v>
      </c>
      <c r="BH49" s="614">
        <f t="shared" si="15"/>
        <v>-15</v>
      </c>
      <c r="BI49" s="615">
        <f>SUM(BJ$45:BM49)</f>
        <v>29</v>
      </c>
      <c r="BJ49" s="531">
        <v>10</v>
      </c>
      <c r="BK49" s="532"/>
      <c r="BL49" s="532"/>
      <c r="BM49" s="563"/>
      <c r="BN49" s="605"/>
      <c r="BO49" s="533">
        <v>5</v>
      </c>
      <c r="BP49" s="531">
        <v>10</v>
      </c>
      <c r="BQ49" s="532"/>
      <c r="BR49" s="532"/>
      <c r="BS49" s="563"/>
      <c r="BT49" s="613">
        <f>SUM(BP$45:BS49)</f>
        <v>36</v>
      </c>
      <c r="BU49" s="614">
        <f t="shared" si="16"/>
        <v>16</v>
      </c>
      <c r="BV49" s="615">
        <f>SUM(BW$45:BZ49)</f>
        <v>20</v>
      </c>
      <c r="BW49" s="531">
        <v>3</v>
      </c>
      <c r="BX49" s="532"/>
      <c r="BY49" s="532"/>
      <c r="BZ49" s="563"/>
      <c r="CA49" s="605"/>
      <c r="CB49" s="533">
        <v>5</v>
      </c>
      <c r="CC49" s="531" t="s">
        <v>2</v>
      </c>
      <c r="CD49" s="532"/>
      <c r="CE49" s="532"/>
      <c r="CF49" s="563"/>
      <c r="CG49" s="613">
        <f>SUM(CC$45:CF49)</f>
        <v>22</v>
      </c>
      <c r="CH49" s="614">
        <f t="shared" si="17"/>
        <v>1</v>
      </c>
      <c r="CI49" s="615">
        <f>SUM(CJ$45:CM49)</f>
        <v>21</v>
      </c>
      <c r="CJ49" s="531">
        <v>11</v>
      </c>
      <c r="CK49" s="532"/>
      <c r="CL49" s="532"/>
      <c r="CM49" s="563"/>
      <c r="CN49" s="605"/>
    </row>
    <row r="50" spans="1:92" ht="15">
      <c r="A50" s="1537"/>
      <c r="B50" s="51">
        <v>6</v>
      </c>
      <c r="C50" s="532"/>
      <c r="D50" s="531">
        <v>6</v>
      </c>
      <c r="E50" s="532"/>
      <c r="F50" s="532"/>
      <c r="G50" s="257">
        <f>SUM(C$45:F50)</f>
        <v>23</v>
      </c>
      <c r="H50" s="258">
        <f t="shared" si="12"/>
        <v>-12</v>
      </c>
      <c r="I50" s="259">
        <f>SUM(J$45:M50)</f>
        <v>35</v>
      </c>
      <c r="J50" s="532"/>
      <c r="K50" s="531">
        <v>5</v>
      </c>
      <c r="L50" s="532"/>
      <c r="M50" s="532"/>
      <c r="N50" s="248"/>
      <c r="O50" s="56">
        <v>6</v>
      </c>
      <c r="P50" s="532"/>
      <c r="Q50" s="531">
        <v>10</v>
      </c>
      <c r="R50" s="532"/>
      <c r="S50" s="532"/>
      <c r="T50" s="257">
        <f>SUM(P$45:S50)</f>
        <v>40</v>
      </c>
      <c r="U50" s="258">
        <f t="shared" si="13"/>
        <v>15</v>
      </c>
      <c r="V50" s="259">
        <f>SUM(W$45:Z50)</f>
        <v>25</v>
      </c>
      <c r="W50" s="532"/>
      <c r="X50" s="531">
        <v>2</v>
      </c>
      <c r="Y50" s="532"/>
      <c r="Z50" s="532"/>
      <c r="AA50" s="248"/>
      <c r="AB50" s="50"/>
      <c r="AC50" s="34"/>
      <c r="AD50" s="38"/>
      <c r="AE50" s="38"/>
      <c r="AF50" s="34"/>
      <c r="AG50" s="256"/>
      <c r="AH50" s="248"/>
      <c r="AI50" s="256"/>
      <c r="AJ50" s="34"/>
      <c r="AK50" s="38"/>
      <c r="AL50" s="38"/>
      <c r="AM50" s="34"/>
      <c r="AN50" s="248"/>
      <c r="AO50" s="56">
        <v>6</v>
      </c>
      <c r="AP50" s="532"/>
      <c r="AQ50" s="531">
        <v>7</v>
      </c>
      <c r="AR50" s="532"/>
      <c r="AS50" s="532"/>
      <c r="AT50" s="257">
        <f>SUM(AP$45:AS50)</f>
        <v>46</v>
      </c>
      <c r="AU50" s="258">
        <f t="shared" si="14"/>
        <v>16</v>
      </c>
      <c r="AV50" s="259">
        <f>SUM(AW$45:AZ50)</f>
        <v>30</v>
      </c>
      <c r="AW50" s="532"/>
      <c r="AX50" s="531">
        <v>4</v>
      </c>
      <c r="AY50" s="532"/>
      <c r="AZ50" s="532"/>
      <c r="BA50" s="249"/>
      <c r="BB50" s="533">
        <v>6</v>
      </c>
      <c r="BC50" s="532"/>
      <c r="BD50" s="531">
        <v>10</v>
      </c>
      <c r="BE50" s="532"/>
      <c r="BF50" s="532"/>
      <c r="BG50" s="613">
        <f>SUM(BC$45:BF50)</f>
        <v>24</v>
      </c>
      <c r="BH50" s="614">
        <f t="shared" si="15"/>
        <v>-16</v>
      </c>
      <c r="BI50" s="615">
        <f>SUM(BJ$45:BM50)</f>
        <v>40</v>
      </c>
      <c r="BJ50" s="532"/>
      <c r="BK50" s="531">
        <v>11</v>
      </c>
      <c r="BL50" s="532"/>
      <c r="BM50" s="532"/>
      <c r="BN50" s="605"/>
      <c r="BO50" s="533">
        <v>6</v>
      </c>
      <c r="BP50" s="532"/>
      <c r="BQ50" s="531">
        <v>5</v>
      </c>
      <c r="BR50" s="532"/>
      <c r="BS50" s="532"/>
      <c r="BT50" s="613">
        <f>SUM(BP$45:BS50)</f>
        <v>41</v>
      </c>
      <c r="BU50" s="614">
        <f t="shared" si="16"/>
        <v>12</v>
      </c>
      <c r="BV50" s="615">
        <f>SUM(BW$45:BZ50)</f>
        <v>29</v>
      </c>
      <c r="BW50" s="532"/>
      <c r="BX50" s="531">
        <v>9</v>
      </c>
      <c r="BY50" s="532"/>
      <c r="BZ50" s="532"/>
      <c r="CA50" s="605"/>
      <c r="CB50" s="533">
        <v>6</v>
      </c>
      <c r="CC50" s="532"/>
      <c r="CD50" s="531">
        <v>7</v>
      </c>
      <c r="CE50" s="532"/>
      <c r="CF50" s="532"/>
      <c r="CG50" s="613">
        <f>SUM(CC$45:CF50)</f>
        <v>29</v>
      </c>
      <c r="CH50" s="614">
        <f t="shared" si="17"/>
        <v>6</v>
      </c>
      <c r="CI50" s="615">
        <f>SUM(CJ$45:CM50)</f>
        <v>23</v>
      </c>
      <c r="CJ50" s="532"/>
      <c r="CK50" s="531">
        <v>2</v>
      </c>
      <c r="CL50" s="532"/>
      <c r="CM50" s="532"/>
      <c r="CN50" s="605"/>
    </row>
    <row r="51" spans="1:92" ht="15">
      <c r="A51" s="1537"/>
      <c r="B51" s="56">
        <v>7</v>
      </c>
      <c r="C51" s="531"/>
      <c r="D51" s="532"/>
      <c r="E51" s="532">
        <v>2</v>
      </c>
      <c r="F51" s="563"/>
      <c r="G51" s="257">
        <f>SUM(C$45:F51)</f>
        <v>25</v>
      </c>
      <c r="H51" s="258">
        <f t="shared" si="12"/>
        <v>-13</v>
      </c>
      <c r="I51" s="259">
        <f>SUM(J$45:M51)</f>
        <v>38</v>
      </c>
      <c r="J51" s="531"/>
      <c r="K51" s="532"/>
      <c r="L51" s="532">
        <v>3</v>
      </c>
      <c r="M51" s="563"/>
      <c r="N51" s="248"/>
      <c r="O51" s="51">
        <v>7</v>
      </c>
      <c r="P51" s="531"/>
      <c r="Q51" s="532"/>
      <c r="R51" s="565">
        <v>10</v>
      </c>
      <c r="S51" s="563"/>
      <c r="T51" s="257">
        <f>SUM(P$45:S51)</f>
        <v>50</v>
      </c>
      <c r="U51" s="258">
        <f t="shared" si="13"/>
        <v>25</v>
      </c>
      <c r="V51" s="259">
        <f>SUM(W$45:Z51)</f>
        <v>25</v>
      </c>
      <c r="W51" s="531"/>
      <c r="X51" s="532"/>
      <c r="Y51" s="532"/>
      <c r="Z51" s="563"/>
      <c r="AA51" s="248"/>
      <c r="AB51" s="50"/>
      <c r="AC51" s="38"/>
      <c r="AD51" s="34"/>
      <c r="AE51" s="34"/>
      <c r="AF51" s="34"/>
      <c r="AG51" s="256"/>
      <c r="AH51" s="248"/>
      <c r="AI51" s="256"/>
      <c r="AJ51" s="38"/>
      <c r="AK51" s="34"/>
      <c r="AL51" s="34"/>
      <c r="AM51" s="34"/>
      <c r="AN51" s="248"/>
      <c r="AO51" s="56">
        <v>7</v>
      </c>
      <c r="AP51" s="531"/>
      <c r="AQ51" s="532"/>
      <c r="AR51" s="1427">
        <v>4</v>
      </c>
      <c r="AS51" s="563"/>
      <c r="AT51" s="257">
        <f>SUM(AP$45:AS51)</f>
        <v>50</v>
      </c>
      <c r="AU51" s="258">
        <f t="shared" si="14"/>
        <v>20</v>
      </c>
      <c r="AV51" s="259">
        <f>SUM(AW$45:AZ51)</f>
        <v>30</v>
      </c>
      <c r="AW51" s="52"/>
      <c r="AX51" s="53"/>
      <c r="AY51" s="53"/>
      <c r="AZ51" s="53"/>
      <c r="BA51" s="249"/>
      <c r="BB51" s="533">
        <v>7</v>
      </c>
      <c r="BC51" s="531"/>
      <c r="BD51" s="532"/>
      <c r="BE51" s="532">
        <v>3</v>
      </c>
      <c r="BF51" s="563"/>
      <c r="BG51" s="613">
        <f>SUM(BC$45:BF51)</f>
        <v>27</v>
      </c>
      <c r="BH51" s="614">
        <f t="shared" si="15"/>
        <v>-16</v>
      </c>
      <c r="BI51" s="615">
        <f>SUM(BJ$45:BM51)</f>
        <v>43</v>
      </c>
      <c r="BJ51" s="531"/>
      <c r="BK51" s="532"/>
      <c r="BL51" s="532">
        <v>3</v>
      </c>
      <c r="BM51" s="563"/>
      <c r="BN51" s="605"/>
      <c r="BO51" s="533">
        <v>7</v>
      </c>
      <c r="BP51" s="531"/>
      <c r="BQ51" s="532"/>
      <c r="BR51" s="532" t="s">
        <v>2</v>
      </c>
      <c r="BS51" s="563"/>
      <c r="BT51" s="613">
        <f>SUM(BP$45:BS51)</f>
        <v>41</v>
      </c>
      <c r="BU51" s="614">
        <f t="shared" si="16"/>
        <v>9</v>
      </c>
      <c r="BV51" s="615">
        <f>SUM(BW$45:BZ51)</f>
        <v>32</v>
      </c>
      <c r="BW51" s="531"/>
      <c r="BX51" s="532"/>
      <c r="BY51" s="532">
        <v>3</v>
      </c>
      <c r="BZ51" s="563"/>
      <c r="CA51" s="605"/>
      <c r="CB51" s="533">
        <v>7</v>
      </c>
      <c r="CC51" s="531"/>
      <c r="CD51" s="532"/>
      <c r="CE51" s="532">
        <v>12</v>
      </c>
      <c r="CF51" s="563"/>
      <c r="CG51" s="613">
        <f>SUM(CC$45:CF51)</f>
        <v>41</v>
      </c>
      <c r="CH51" s="614">
        <f t="shared" si="17"/>
        <v>18</v>
      </c>
      <c r="CI51" s="615">
        <f>SUM(CJ$45:CM51)</f>
        <v>23</v>
      </c>
      <c r="CJ51" s="531"/>
      <c r="CK51" s="532"/>
      <c r="CL51" s="532" t="s">
        <v>2</v>
      </c>
      <c r="CM51" s="563"/>
      <c r="CN51" s="605"/>
    </row>
    <row r="52" spans="1:92" ht="15">
      <c r="A52" s="1537"/>
      <c r="B52" s="56">
        <v>8</v>
      </c>
      <c r="C52" s="531"/>
      <c r="D52" s="532"/>
      <c r="E52" s="532"/>
      <c r="F52" s="563">
        <v>2</v>
      </c>
      <c r="G52" s="257">
        <f>SUM(C$45:F52)</f>
        <v>27</v>
      </c>
      <c r="H52" s="258">
        <f t="shared" si="12"/>
        <v>-23</v>
      </c>
      <c r="I52" s="259">
        <f>SUM(J$45:M52)</f>
        <v>50</v>
      </c>
      <c r="J52" s="531"/>
      <c r="K52" s="532"/>
      <c r="L52" s="532"/>
      <c r="M52" s="565">
        <v>12</v>
      </c>
      <c r="N52" s="248"/>
      <c r="O52" s="517"/>
      <c r="P52" s="517"/>
      <c r="Q52" s="517"/>
      <c r="R52" s="517"/>
      <c r="S52" s="517"/>
      <c r="T52" s="517"/>
      <c r="U52" s="517"/>
      <c r="V52" s="517"/>
      <c r="W52" s="517"/>
      <c r="X52" s="517"/>
      <c r="Y52" s="517"/>
      <c r="Z52" s="517"/>
      <c r="AA52" s="248"/>
      <c r="AB52" s="50"/>
      <c r="AC52" s="34"/>
      <c r="AD52" s="38"/>
      <c r="AE52" s="38"/>
      <c r="AF52" s="34"/>
      <c r="AG52" s="256"/>
      <c r="AH52" s="248"/>
      <c r="AI52" s="256"/>
      <c r="AJ52" s="34"/>
      <c r="AK52" s="38"/>
      <c r="AL52" s="38"/>
      <c r="AM52" s="34"/>
      <c r="AN52" s="248"/>
      <c r="AO52" s="517"/>
      <c r="AP52" s="517"/>
      <c r="AQ52" s="517"/>
      <c r="AR52" s="517"/>
      <c r="AS52" s="517"/>
      <c r="AT52" s="517"/>
      <c r="AU52" s="517"/>
      <c r="AV52" s="517"/>
      <c r="AW52" s="517"/>
      <c r="AX52" s="517"/>
      <c r="AY52" s="517"/>
      <c r="AZ52" s="517"/>
      <c r="BA52" s="249"/>
      <c r="BB52" s="533">
        <v>8</v>
      </c>
      <c r="BC52" s="532"/>
      <c r="BD52" s="531"/>
      <c r="BE52" s="532"/>
      <c r="BF52" s="532">
        <v>3</v>
      </c>
      <c r="BG52" s="613">
        <f>SUM(BC$45:BF52)</f>
        <v>30</v>
      </c>
      <c r="BH52" s="614">
        <f t="shared" si="15"/>
        <v>5</v>
      </c>
      <c r="BI52" s="615">
        <f>SUM(BJ$45:BM52)</f>
        <v>25</v>
      </c>
      <c r="BJ52" s="532"/>
      <c r="BK52" s="531"/>
      <c r="BL52" s="532"/>
      <c r="BM52" s="478">
        <v>-18</v>
      </c>
      <c r="BN52" s="605"/>
      <c r="BO52" s="533">
        <v>8</v>
      </c>
      <c r="BP52" s="532"/>
      <c r="BQ52" s="531"/>
      <c r="BR52" s="532"/>
      <c r="BS52" s="532">
        <v>2</v>
      </c>
      <c r="BT52" s="613">
        <f>SUM(BP$45:BS52)</f>
        <v>43</v>
      </c>
      <c r="BU52" s="614">
        <f t="shared" si="16"/>
        <v>11</v>
      </c>
      <c r="BV52" s="615">
        <f>SUM(BW$45:BZ52)</f>
        <v>32</v>
      </c>
      <c r="BW52" s="532"/>
      <c r="BX52" s="531"/>
      <c r="BY52" s="532"/>
      <c r="BZ52" s="563" t="s">
        <v>2</v>
      </c>
      <c r="CA52" s="605"/>
      <c r="CB52" s="533">
        <v>8</v>
      </c>
      <c r="CC52" s="531"/>
      <c r="CD52" s="532"/>
      <c r="CE52" s="532"/>
      <c r="CF52" s="563">
        <v>5</v>
      </c>
      <c r="CG52" s="613">
        <f>SUM(CC$45:CF52)</f>
        <v>46</v>
      </c>
      <c r="CH52" s="614">
        <f t="shared" si="17"/>
        <v>20</v>
      </c>
      <c r="CI52" s="615">
        <f>SUM(CJ$45:CM52)</f>
        <v>26</v>
      </c>
      <c r="CJ52" s="531"/>
      <c r="CK52" s="532"/>
      <c r="CL52" s="532"/>
      <c r="CM52" s="563">
        <v>3</v>
      </c>
      <c r="CN52" s="605"/>
    </row>
    <row r="53" spans="1:92" ht="15">
      <c r="A53" s="1537"/>
      <c r="B53" s="517"/>
      <c r="C53" s="517"/>
      <c r="D53" s="517"/>
      <c r="E53" s="517"/>
      <c r="F53" s="517"/>
      <c r="G53" s="517"/>
      <c r="H53" s="517"/>
      <c r="I53" s="517"/>
      <c r="J53" s="517"/>
      <c r="K53" s="517"/>
      <c r="L53" s="517"/>
      <c r="M53" s="517"/>
      <c r="N53" s="248"/>
      <c r="O53" s="517"/>
      <c r="P53" s="517"/>
      <c r="Q53" s="517"/>
      <c r="R53" s="517"/>
      <c r="S53" s="517"/>
      <c r="T53" s="517"/>
      <c r="U53" s="517"/>
      <c r="V53" s="517"/>
      <c r="W53" s="517"/>
      <c r="X53" s="517"/>
      <c r="Y53" s="517"/>
      <c r="Z53" s="517"/>
      <c r="AA53" s="248"/>
      <c r="AB53" s="50"/>
      <c r="AC53" s="34"/>
      <c r="AD53" s="38"/>
      <c r="AE53" s="38"/>
      <c r="AF53" s="34"/>
      <c r="AG53" s="256"/>
      <c r="AH53" s="248"/>
      <c r="AI53" s="256"/>
      <c r="AJ53" s="34"/>
      <c r="AK53" s="38"/>
      <c r="AL53" s="38"/>
      <c r="AM53" s="34"/>
      <c r="AN53" s="248"/>
      <c r="AO53" s="517"/>
      <c r="AP53" s="517"/>
      <c r="AQ53" s="517"/>
      <c r="AR53" s="517"/>
      <c r="AS53" s="517"/>
      <c r="AT53" s="517"/>
      <c r="AU53" s="517"/>
      <c r="AV53" s="517"/>
      <c r="AW53" s="517"/>
      <c r="AX53" s="517"/>
      <c r="AY53" s="517"/>
      <c r="AZ53" s="517"/>
      <c r="BA53" s="249"/>
      <c r="BB53" s="530">
        <v>9</v>
      </c>
      <c r="BC53" s="532" t="s">
        <v>2</v>
      </c>
      <c r="BD53" s="531"/>
      <c r="BE53" s="532"/>
      <c r="BF53" s="532"/>
      <c r="BG53" s="613">
        <f>SUM(BC$45:BF53)</f>
        <v>30</v>
      </c>
      <c r="BH53" s="614">
        <f t="shared" ref="BH53:BH58" si="18">BG53-BI53</f>
        <v>5</v>
      </c>
      <c r="BI53" s="615">
        <f>SUM(BJ$45:BM53)</f>
        <v>25</v>
      </c>
      <c r="BJ53" s="532" t="s">
        <v>2</v>
      </c>
      <c r="BK53" s="531"/>
      <c r="BL53" s="532"/>
      <c r="BM53" s="563"/>
      <c r="BN53" s="605"/>
      <c r="BO53" s="530">
        <v>9</v>
      </c>
      <c r="BP53" s="532" t="s">
        <v>2</v>
      </c>
      <c r="BQ53" s="531"/>
      <c r="BR53" s="532"/>
      <c r="BS53" s="532"/>
      <c r="BT53" s="613">
        <f>SUM(BP$45:BS53)</f>
        <v>43</v>
      </c>
      <c r="BU53" s="614">
        <f>BT53-BV53</f>
        <v>9</v>
      </c>
      <c r="BV53" s="615">
        <f>SUM(BW$45:BZ53)</f>
        <v>34</v>
      </c>
      <c r="BW53" s="532">
        <v>2</v>
      </c>
      <c r="BX53" s="531"/>
      <c r="BY53" s="532"/>
      <c r="BZ53" s="563"/>
      <c r="CA53" s="605"/>
      <c r="CB53" s="530">
        <v>9</v>
      </c>
      <c r="CC53" s="1427">
        <v>4</v>
      </c>
      <c r="CD53" s="531"/>
      <c r="CE53" s="532"/>
      <c r="CF53" s="532"/>
      <c r="CG53" s="613">
        <f>SUM(CC$45:CF53)</f>
        <v>50</v>
      </c>
      <c r="CH53" s="614">
        <f>CG53-CI53</f>
        <v>24</v>
      </c>
      <c r="CI53" s="615">
        <f>SUM(CJ$45:CM53)</f>
        <v>26</v>
      </c>
      <c r="CJ53" s="532"/>
      <c r="CK53" s="531"/>
      <c r="CL53" s="532"/>
      <c r="CM53" s="532"/>
      <c r="CN53" s="605"/>
    </row>
    <row r="54" spans="1:92" ht="15">
      <c r="A54" s="1537"/>
      <c r="B54" s="517"/>
      <c r="C54" s="517"/>
      <c r="D54" s="517"/>
      <c r="E54" s="517"/>
      <c r="F54" s="517"/>
      <c r="G54" s="517"/>
      <c r="H54" s="517"/>
      <c r="I54" s="517"/>
      <c r="J54" s="517"/>
      <c r="K54" s="517"/>
      <c r="L54" s="517"/>
      <c r="M54" s="517"/>
      <c r="N54" s="248"/>
      <c r="O54" s="517"/>
      <c r="P54" s="517"/>
      <c r="Q54" s="517"/>
      <c r="R54" s="517"/>
      <c r="S54" s="517"/>
      <c r="T54" s="517"/>
      <c r="U54" s="517"/>
      <c r="V54" s="517"/>
      <c r="W54" s="517"/>
      <c r="X54" s="517"/>
      <c r="Y54" s="517"/>
      <c r="Z54" s="517"/>
      <c r="AA54" s="248"/>
      <c r="AB54" s="50"/>
      <c r="AC54" s="34"/>
      <c r="AD54" s="38"/>
      <c r="AE54" s="38"/>
      <c r="AF54" s="34"/>
      <c r="AG54" s="256"/>
      <c r="AH54" s="248"/>
      <c r="AI54" s="256"/>
      <c r="AJ54" s="34"/>
      <c r="AK54" s="38"/>
      <c r="AL54" s="38"/>
      <c r="AM54" s="34"/>
      <c r="AN54" s="248"/>
      <c r="AO54" s="517"/>
      <c r="AP54" s="517"/>
      <c r="AQ54" s="517"/>
      <c r="AR54" s="517"/>
      <c r="AS54" s="517"/>
      <c r="AT54" s="517"/>
      <c r="AU54" s="517"/>
      <c r="AV54" s="517"/>
      <c r="AW54" s="517"/>
      <c r="AX54" s="517"/>
      <c r="AY54" s="517"/>
      <c r="AZ54" s="517"/>
      <c r="BA54" s="249"/>
      <c r="BB54" s="533">
        <v>10</v>
      </c>
      <c r="BC54" s="532"/>
      <c r="BD54" s="531">
        <v>11</v>
      </c>
      <c r="BE54" s="532"/>
      <c r="BF54" s="532"/>
      <c r="BG54" s="613">
        <f>SUM(BC$45:BF54)</f>
        <v>41</v>
      </c>
      <c r="BH54" s="614">
        <f t="shared" si="18"/>
        <v>4</v>
      </c>
      <c r="BI54" s="615">
        <f>SUM(BJ$45:BM54)</f>
        <v>37</v>
      </c>
      <c r="BJ54" s="532"/>
      <c r="BK54" s="531">
        <v>12</v>
      </c>
      <c r="BL54" s="532"/>
      <c r="BM54" s="563"/>
      <c r="BN54" s="605"/>
      <c r="BO54" s="533">
        <v>10</v>
      </c>
      <c r="BP54" s="532"/>
      <c r="BQ54" s="1427">
        <v>7</v>
      </c>
      <c r="BR54" s="532"/>
      <c r="BS54" s="532"/>
      <c r="BT54" s="613">
        <f>SUM(BP$45:BS54)</f>
        <v>50</v>
      </c>
      <c r="BU54" s="614">
        <f>BT54-BV54</f>
        <v>16</v>
      </c>
      <c r="BV54" s="615">
        <f>SUM(BW$45:BZ54)</f>
        <v>34</v>
      </c>
      <c r="BW54" s="532"/>
      <c r="BX54" s="531"/>
      <c r="BY54" s="532"/>
      <c r="BZ54" s="563"/>
      <c r="CA54" s="605"/>
      <c r="CN54" s="605"/>
    </row>
    <row r="55" spans="1:92" ht="15">
      <c r="A55" s="1537"/>
      <c r="B55" s="517"/>
      <c r="C55" s="517"/>
      <c r="D55" s="517"/>
      <c r="E55" s="517"/>
      <c r="F55" s="517"/>
      <c r="G55" s="517"/>
      <c r="H55" s="517"/>
      <c r="I55" s="517"/>
      <c r="J55" s="517"/>
      <c r="K55" s="517"/>
      <c r="L55" s="517"/>
      <c r="M55" s="517"/>
      <c r="N55" s="248"/>
      <c r="O55" s="517"/>
      <c r="P55" s="517"/>
      <c r="Q55" s="517"/>
      <c r="R55" s="517"/>
      <c r="S55" s="517"/>
      <c r="T55" s="517"/>
      <c r="U55" s="517"/>
      <c r="V55" s="517"/>
      <c r="W55" s="517"/>
      <c r="X55" s="517"/>
      <c r="Y55" s="517"/>
      <c r="Z55" s="517"/>
      <c r="AA55" s="248"/>
      <c r="AB55" s="50"/>
      <c r="AC55" s="34"/>
      <c r="AD55" s="250"/>
      <c r="AE55" s="250"/>
      <c r="AF55" s="34"/>
      <c r="AG55" s="250"/>
      <c r="AH55" s="248"/>
      <c r="AI55" s="248"/>
      <c r="AJ55" s="34"/>
      <c r="AK55" s="250"/>
      <c r="AL55" s="250"/>
      <c r="AM55" s="34"/>
      <c r="AN55" s="248"/>
      <c r="AO55" s="517"/>
      <c r="AP55" s="517"/>
      <c r="AQ55" s="517"/>
      <c r="AR55" s="517"/>
      <c r="AS55" s="517"/>
      <c r="AT55" s="517"/>
      <c r="AU55" s="517"/>
      <c r="AV55" s="517"/>
      <c r="AW55" s="517"/>
      <c r="AX55" s="517"/>
      <c r="AY55" s="517"/>
      <c r="AZ55" s="517"/>
      <c r="BA55" s="249"/>
      <c r="BB55" s="533">
        <v>11</v>
      </c>
      <c r="BC55" s="531"/>
      <c r="BD55" s="532"/>
      <c r="BE55" s="532">
        <v>8</v>
      </c>
      <c r="BF55" s="563"/>
      <c r="BG55" s="613">
        <f>SUM(BC$45:BF55)</f>
        <v>49</v>
      </c>
      <c r="BH55" s="614">
        <f t="shared" si="18"/>
        <v>10</v>
      </c>
      <c r="BI55" s="615">
        <f>SUM(BJ$45:BM55)</f>
        <v>39</v>
      </c>
      <c r="BJ55" s="531"/>
      <c r="BK55" s="532"/>
      <c r="BL55" s="532">
        <v>2</v>
      </c>
      <c r="BM55" s="563"/>
      <c r="BN55" s="605"/>
      <c r="CA55" s="605"/>
      <c r="CN55" s="605"/>
    </row>
    <row r="56" spans="1:92" ht="15">
      <c r="A56" s="1537"/>
      <c r="B56" s="517"/>
      <c r="C56" s="517"/>
      <c r="D56" s="517"/>
      <c r="E56" s="517"/>
      <c r="F56" s="517"/>
      <c r="G56" s="517"/>
      <c r="H56" s="517"/>
      <c r="I56" s="517"/>
      <c r="J56" s="517"/>
      <c r="K56" s="517"/>
      <c r="L56" s="517"/>
      <c r="M56" s="517"/>
      <c r="N56" s="248"/>
      <c r="O56" s="517"/>
      <c r="P56" s="517"/>
      <c r="Q56" s="517"/>
      <c r="R56" s="517"/>
      <c r="S56" s="517"/>
      <c r="T56" s="517"/>
      <c r="U56" s="517"/>
      <c r="V56" s="517"/>
      <c r="W56" s="517"/>
      <c r="X56" s="517"/>
      <c r="Y56" s="517"/>
      <c r="Z56" s="517"/>
      <c r="AA56" s="248"/>
      <c r="AB56" s="50"/>
      <c r="AC56" s="34"/>
      <c r="AD56" s="250"/>
      <c r="AE56" s="250"/>
      <c r="AF56" s="34"/>
      <c r="AG56" s="250"/>
      <c r="AH56" s="248"/>
      <c r="AI56" s="248"/>
      <c r="AJ56" s="34"/>
      <c r="AK56" s="250"/>
      <c r="AL56" s="250"/>
      <c r="AM56" s="34"/>
      <c r="AN56" s="248"/>
      <c r="AO56" s="517"/>
      <c r="AP56" s="517"/>
      <c r="AQ56" s="517"/>
      <c r="AR56" s="517"/>
      <c r="AS56" s="517"/>
      <c r="AT56" s="517"/>
      <c r="AU56" s="517"/>
      <c r="AV56" s="517"/>
      <c r="AW56" s="517"/>
      <c r="AX56" s="517"/>
      <c r="AY56" s="517"/>
      <c r="AZ56" s="517"/>
      <c r="BA56" s="249"/>
      <c r="BB56" s="533">
        <v>12</v>
      </c>
      <c r="BC56" s="532"/>
      <c r="BD56" s="531"/>
      <c r="BE56" s="532"/>
      <c r="BF56" s="535">
        <v>-24</v>
      </c>
      <c r="BG56" s="613">
        <f>SUM(BC$45:BF56)</f>
        <v>25</v>
      </c>
      <c r="BH56" s="614">
        <f t="shared" si="18"/>
        <v>-20</v>
      </c>
      <c r="BI56" s="615">
        <f>SUM(BJ$45:BM56)</f>
        <v>45</v>
      </c>
      <c r="BJ56" s="532"/>
      <c r="BK56" s="531"/>
      <c r="BL56" s="532"/>
      <c r="BM56" s="532">
        <v>6</v>
      </c>
      <c r="BN56" s="605"/>
      <c r="CA56" s="605"/>
      <c r="CN56" s="605"/>
    </row>
    <row r="57" spans="1:92" ht="15">
      <c r="A57" s="1537"/>
      <c r="B57" s="517"/>
      <c r="C57" s="517"/>
      <c r="D57" s="517"/>
      <c r="E57" s="517"/>
      <c r="F57" s="517"/>
      <c r="G57" s="517"/>
      <c r="H57" s="517"/>
      <c r="I57" s="517"/>
      <c r="J57" s="517"/>
      <c r="K57" s="517"/>
      <c r="L57" s="517"/>
      <c r="M57" s="517"/>
      <c r="N57" s="248"/>
      <c r="O57" s="517"/>
      <c r="P57" s="517"/>
      <c r="Q57" s="517"/>
      <c r="R57" s="517"/>
      <c r="S57" s="517"/>
      <c r="T57" s="517"/>
      <c r="U57" s="517"/>
      <c r="V57" s="517"/>
      <c r="W57" s="517"/>
      <c r="X57" s="517"/>
      <c r="Y57" s="517"/>
      <c r="Z57" s="517"/>
      <c r="AA57" s="248"/>
      <c r="AB57" s="50"/>
      <c r="AC57" s="34"/>
      <c r="AD57" s="250"/>
      <c r="AE57" s="250"/>
      <c r="AF57" s="34"/>
      <c r="AG57" s="250"/>
      <c r="AH57" s="248"/>
      <c r="AI57" s="248"/>
      <c r="AJ57" s="34"/>
      <c r="AK57" s="250"/>
      <c r="AL57" s="250"/>
      <c r="AM57" s="34"/>
      <c r="AN57" s="248"/>
      <c r="AW57" s="517"/>
      <c r="AX57" s="517"/>
      <c r="BA57" s="249"/>
      <c r="BB57" s="530">
        <v>13</v>
      </c>
      <c r="BC57" s="531">
        <v>9</v>
      </c>
      <c r="BD57" s="532"/>
      <c r="BE57" s="532"/>
      <c r="BF57" s="563"/>
      <c r="BG57" s="613">
        <f>SUM(BC$45:BF57)</f>
        <v>34</v>
      </c>
      <c r="BH57" s="614">
        <f t="shared" si="18"/>
        <v>-14</v>
      </c>
      <c r="BI57" s="615">
        <f>SUM(BJ$45:BM57)</f>
        <v>48</v>
      </c>
      <c r="BJ57" s="531">
        <v>3</v>
      </c>
      <c r="BK57" s="532"/>
      <c r="BL57" s="532"/>
      <c r="BM57" s="563"/>
      <c r="BN57" s="605"/>
      <c r="CA57" s="605"/>
      <c r="CN57" s="605"/>
    </row>
    <row r="58" spans="1:92" ht="15">
      <c r="A58" s="1537"/>
      <c r="N58" s="248"/>
      <c r="AA58" s="248"/>
      <c r="AB58" s="61"/>
      <c r="AC58" s="38"/>
      <c r="AD58" s="38"/>
      <c r="AE58" s="38"/>
      <c r="AF58" s="38"/>
      <c r="AG58" s="62"/>
      <c r="AH58" s="248"/>
      <c r="AI58" s="62"/>
      <c r="AJ58" s="38"/>
      <c r="AK58" s="38"/>
      <c r="AL58" s="38"/>
      <c r="AM58" s="63"/>
      <c r="AN58" s="248"/>
      <c r="AW58" s="517"/>
      <c r="AX58" s="517"/>
      <c r="BA58" s="249"/>
      <c r="BB58" s="533">
        <v>14</v>
      </c>
      <c r="BC58" s="531"/>
      <c r="BD58" s="532">
        <v>2</v>
      </c>
      <c r="BE58" s="532"/>
      <c r="BF58" s="532"/>
      <c r="BG58" s="613">
        <f>SUM(BC$45:BF58)</f>
        <v>36</v>
      </c>
      <c r="BH58" s="614">
        <f t="shared" si="18"/>
        <v>-14</v>
      </c>
      <c r="BI58" s="615">
        <f>SUM(BJ$45:BM58)</f>
        <v>50</v>
      </c>
      <c r="BJ58" s="531"/>
      <c r="BK58" s="1427">
        <v>2</v>
      </c>
      <c r="BL58" s="532"/>
      <c r="BM58" s="563"/>
      <c r="BN58" s="605"/>
      <c r="CA58" s="605"/>
      <c r="CN58" s="605"/>
    </row>
    <row r="59" spans="1:92" s="517" customFormat="1" ht="15">
      <c r="A59" s="1537"/>
      <c r="N59" s="604"/>
      <c r="AA59" s="604"/>
      <c r="AB59" s="536"/>
      <c r="AC59" s="520"/>
      <c r="AD59" s="520"/>
      <c r="AE59" s="520"/>
      <c r="AF59" s="520"/>
      <c r="AG59" s="537"/>
      <c r="AH59" s="604"/>
      <c r="AI59" s="537"/>
      <c r="AJ59" s="520"/>
      <c r="AK59" s="520"/>
      <c r="AL59" s="520"/>
      <c r="AM59" s="538"/>
      <c r="AN59" s="604"/>
      <c r="BA59" s="605"/>
      <c r="BN59" s="605"/>
      <c r="CA59" s="605"/>
      <c r="CN59" s="605"/>
    </row>
    <row r="60" spans="1:92" ht="15">
      <c r="A60" s="1537"/>
      <c r="B60" s="64" t="s">
        <v>3</v>
      </c>
      <c r="C60" s="52">
        <f>SUM(C45:C57)</f>
        <v>14</v>
      </c>
      <c r="D60" s="65">
        <f>SUM(D45:D57)</f>
        <v>6</v>
      </c>
      <c r="E60" s="65">
        <f>SUM(E45:E57)</f>
        <v>2</v>
      </c>
      <c r="F60" s="52">
        <f>SUM(F45:F57)</f>
        <v>5</v>
      </c>
      <c r="G60" s="66">
        <f>SUM(C60:F60)</f>
        <v>27</v>
      </c>
      <c r="H60" s="251"/>
      <c r="I60" s="66">
        <f>SUM(J60:M60)</f>
        <v>50</v>
      </c>
      <c r="J60" s="52">
        <f>SUM(J45:J57)</f>
        <v>18</v>
      </c>
      <c r="K60" s="52">
        <f>SUM(K45:K57)</f>
        <v>13</v>
      </c>
      <c r="L60" s="52">
        <f>SUM(L45:L57)</f>
        <v>5</v>
      </c>
      <c r="M60" s="52">
        <f>SUM(M45:M57)</f>
        <v>14</v>
      </c>
      <c r="N60" s="248"/>
      <c r="O60" s="64" t="s">
        <v>3</v>
      </c>
      <c r="P60" s="52">
        <f>SUM(P45:P57)</f>
        <v>8</v>
      </c>
      <c r="Q60" s="65">
        <f>SUM(Q45:Q57)</f>
        <v>17</v>
      </c>
      <c r="R60" s="52">
        <f>SUM(R45:R57)</f>
        <v>20</v>
      </c>
      <c r="S60" s="52">
        <f>SUM(S45:S57)</f>
        <v>5</v>
      </c>
      <c r="T60" s="66">
        <f>SUM(P60:S60)</f>
        <v>50</v>
      </c>
      <c r="U60" s="251"/>
      <c r="V60" s="66">
        <f>SUM(W60:Z60)</f>
        <v>25</v>
      </c>
      <c r="W60" s="52">
        <f>SUM(W45:W57)</f>
        <v>8</v>
      </c>
      <c r="X60" s="52">
        <f>SUM(X45:X57)</f>
        <v>12</v>
      </c>
      <c r="Y60" s="52">
        <f>SUM(Y45:Y57)</f>
        <v>0</v>
      </c>
      <c r="Z60" s="52">
        <f>SUM(Z45:Z57)</f>
        <v>5</v>
      </c>
      <c r="AA60" s="248"/>
      <c r="AB60" s="61"/>
      <c r="AC60" s="34"/>
      <c r="AD60" s="34"/>
      <c r="AE60" s="34"/>
      <c r="AF60" s="34"/>
      <c r="AG60" s="62"/>
      <c r="AH60" s="248"/>
      <c r="AI60" s="62"/>
      <c r="AJ60" s="34"/>
      <c r="AK60" s="34"/>
      <c r="AL60" s="34"/>
      <c r="AM60" s="34"/>
      <c r="AN60" s="248"/>
      <c r="AO60" s="64" t="s">
        <v>3</v>
      </c>
      <c r="AP60" s="52">
        <f>SUM(AP45:AP57)</f>
        <v>16</v>
      </c>
      <c r="AQ60" s="65">
        <f>SUM(AQ45:AQ57)</f>
        <v>7</v>
      </c>
      <c r="AR60" s="65">
        <f>SUM(AR45:AR57)</f>
        <v>16</v>
      </c>
      <c r="AS60" s="52">
        <f>SUM(AS45:AS57)</f>
        <v>11</v>
      </c>
      <c r="AT60" s="66">
        <f>SUM(AP60:AS60)</f>
        <v>50</v>
      </c>
      <c r="AU60" s="251"/>
      <c r="AV60" s="66">
        <f>SUM(AW60:AZ60)</f>
        <v>30</v>
      </c>
      <c r="AW60" s="52">
        <f>SUM(AW45:AW56)</f>
        <v>10</v>
      </c>
      <c r="AX60" s="52">
        <f>SUM(AX45:AX56)</f>
        <v>6</v>
      </c>
      <c r="AY60" s="52">
        <f>SUM(AY45:AY57)</f>
        <v>3</v>
      </c>
      <c r="AZ60" s="52">
        <f>SUM(AZ45:AZ57)</f>
        <v>11</v>
      </c>
      <c r="BA60" s="249"/>
      <c r="BB60" s="539" t="s">
        <v>3</v>
      </c>
      <c r="BC60" s="531">
        <f>SUM(BC45:BC58)</f>
        <v>21</v>
      </c>
      <c r="BD60" s="531">
        <f>SUM(BD45:BD58)</f>
        <v>25</v>
      </c>
      <c r="BE60" s="531">
        <f>SUM(BE45:BE58)</f>
        <v>11</v>
      </c>
      <c r="BF60" s="564">
        <f>SUM(BF45:BF58)</f>
        <v>-21</v>
      </c>
      <c r="BG60" s="541">
        <f>SUM(BC60:BF60)</f>
        <v>36</v>
      </c>
      <c r="BH60" s="607"/>
      <c r="BI60" s="541">
        <f>SUM(BJ60:BM60)</f>
        <v>50</v>
      </c>
      <c r="BJ60" s="531">
        <f>SUM(BJ45:BJ58)</f>
        <v>22</v>
      </c>
      <c r="BK60" s="531">
        <f>SUM(BK45:BK58)</f>
        <v>33</v>
      </c>
      <c r="BL60" s="531">
        <f>SUM(BL45:BL58)</f>
        <v>7</v>
      </c>
      <c r="BM60" s="564">
        <f>SUM(BM45:BM58)</f>
        <v>-12</v>
      </c>
      <c r="BN60" s="605"/>
      <c r="BO60" s="539" t="s">
        <v>3</v>
      </c>
      <c r="BP60" s="531">
        <f>SUM(BP45:BP57)</f>
        <v>20</v>
      </c>
      <c r="BQ60" s="540">
        <f>SUM(BQ45:BQ57)</f>
        <v>20</v>
      </c>
      <c r="BR60" s="540">
        <f>SUM(BR45:BR57)</f>
        <v>5</v>
      </c>
      <c r="BS60" s="531">
        <f>SUM(BS45:BS57)</f>
        <v>5</v>
      </c>
      <c r="BT60" s="541">
        <f>SUM(BP60:BS60)</f>
        <v>50</v>
      </c>
      <c r="BU60" s="607"/>
      <c r="BV60" s="541">
        <f>SUM(BW60:BZ60)</f>
        <v>34</v>
      </c>
      <c r="BW60" s="531">
        <f>SUM(BW45:BW57)</f>
        <v>13</v>
      </c>
      <c r="BX60" s="531">
        <f>SUM(BX45:BX57)</f>
        <v>15</v>
      </c>
      <c r="BY60" s="531">
        <f>SUM(BY45:BY57)</f>
        <v>3</v>
      </c>
      <c r="BZ60" s="531">
        <f>SUM(BZ45:BZ57)</f>
        <v>3</v>
      </c>
      <c r="CA60" s="605"/>
      <c r="CB60" s="539" t="s">
        <v>3</v>
      </c>
      <c r="CC60" s="531">
        <f>SUM(CC45:CC57)</f>
        <v>8</v>
      </c>
      <c r="CD60" s="540">
        <f>SUM(CD45:CD57)</f>
        <v>16</v>
      </c>
      <c r="CE60" s="540">
        <f>SUM(CE45:CE57)</f>
        <v>19</v>
      </c>
      <c r="CF60" s="531">
        <f>SUM(CF45:CF57)</f>
        <v>7</v>
      </c>
      <c r="CG60" s="541">
        <f>SUM(CC60:CF60)</f>
        <v>50</v>
      </c>
      <c r="CH60" s="607"/>
      <c r="CI60" s="541">
        <f>SUM(CJ60:CM60)</f>
        <v>26</v>
      </c>
      <c r="CJ60" s="531">
        <f>SUM(CJ45:CJ57)</f>
        <v>13</v>
      </c>
      <c r="CK60" s="531">
        <f>SUM(CK45:CK57)</f>
        <v>5</v>
      </c>
      <c r="CL60" s="531">
        <f>SUM(CL45:CL57)</f>
        <v>5</v>
      </c>
      <c r="CM60" s="531">
        <f>SUM(CM45:CM57)</f>
        <v>3</v>
      </c>
      <c r="CN60" s="605"/>
    </row>
    <row r="61" spans="1:92" ht="15">
      <c r="A61" s="1537"/>
      <c r="B61" s="67" t="s">
        <v>4</v>
      </c>
      <c r="C61" s="53">
        <f>COUNTA(C45:C57)</f>
        <v>2</v>
      </c>
      <c r="D61" s="53">
        <f>COUNTA(D45:D57)</f>
        <v>2</v>
      </c>
      <c r="E61" s="53">
        <f>COUNTA(E45:E57)</f>
        <v>2</v>
      </c>
      <c r="F61" s="53">
        <f>COUNTA(F45:F57)</f>
        <v>2</v>
      </c>
      <c r="G61" s="66">
        <f>SUM(C61:F61)</f>
        <v>8</v>
      </c>
      <c r="H61" s="251"/>
      <c r="I61" s="66">
        <f>SUM(J61:M61)</f>
        <v>8</v>
      </c>
      <c r="J61" s="53">
        <f>COUNTA(J45:J57)</f>
        <v>2</v>
      </c>
      <c r="K61" s="53">
        <f>COUNTA(K45:K57)</f>
        <v>2</v>
      </c>
      <c r="L61" s="53">
        <f>COUNTA(L45:L57)</f>
        <v>2</v>
      </c>
      <c r="M61" s="53">
        <f>COUNTA(M45:M57)</f>
        <v>2</v>
      </c>
      <c r="N61" s="248"/>
      <c r="O61" s="67" t="s">
        <v>4</v>
      </c>
      <c r="P61" s="53">
        <f>COUNTA(P45:P57)</f>
        <v>2</v>
      </c>
      <c r="Q61" s="53">
        <f>COUNTA(Q45:Q57)</f>
        <v>2</v>
      </c>
      <c r="R61" s="53">
        <f>COUNTA(R45:R57)</f>
        <v>2</v>
      </c>
      <c r="S61" s="53">
        <f>COUNTA(S45:S57)</f>
        <v>1</v>
      </c>
      <c r="T61" s="66">
        <f>SUM(P61:S61)</f>
        <v>7</v>
      </c>
      <c r="U61" s="251"/>
      <c r="V61" s="66">
        <f>SUM(W61:Z61)</f>
        <v>6</v>
      </c>
      <c r="W61" s="53">
        <f>COUNTA(W45:W57)</f>
        <v>2</v>
      </c>
      <c r="X61" s="53">
        <f>COUNTA(X45:X57)</f>
        <v>2</v>
      </c>
      <c r="Y61" s="53">
        <f>COUNTA(Y45:Y57)</f>
        <v>1</v>
      </c>
      <c r="Z61" s="53">
        <f>COUNTA(Z45:Z57)</f>
        <v>1</v>
      </c>
      <c r="AA61" s="248"/>
      <c r="AB61" s="61"/>
      <c r="AC61" s="38"/>
      <c r="AD61" s="38"/>
      <c r="AE61" s="38"/>
      <c r="AF61" s="38"/>
      <c r="AG61" s="62"/>
      <c r="AH61" s="248"/>
      <c r="AI61" s="62"/>
      <c r="AJ61" s="38"/>
      <c r="AK61" s="63"/>
      <c r="AL61" s="63"/>
      <c r="AM61" s="38"/>
      <c r="AN61" s="248"/>
      <c r="AO61" s="67" t="s">
        <v>4</v>
      </c>
      <c r="AP61" s="53">
        <f>COUNTA(AP45:AP57)</f>
        <v>2</v>
      </c>
      <c r="AQ61" s="53">
        <f>COUNTA(AQ45:AQ57)</f>
        <v>2</v>
      </c>
      <c r="AR61" s="53">
        <f>COUNTA(AR45:AR57)</f>
        <v>2</v>
      </c>
      <c r="AS61" s="53">
        <f>COUNTA(AS45:AS57)</f>
        <v>1</v>
      </c>
      <c r="AT61" s="66">
        <f>SUM(AP61:AS61)</f>
        <v>7</v>
      </c>
      <c r="AU61" s="251"/>
      <c r="AV61" s="66">
        <f>SUM(AW61:AZ61)</f>
        <v>6</v>
      </c>
      <c r="AW61" s="53">
        <f>COUNTA(AW45:AW56)</f>
        <v>2</v>
      </c>
      <c r="AX61" s="53">
        <f>COUNTA(AX45:AX56)</f>
        <v>2</v>
      </c>
      <c r="AY61" s="53">
        <f>COUNTA(AY45:AY57)</f>
        <v>1</v>
      </c>
      <c r="AZ61" s="53">
        <f>COUNTA(AZ45:AZ57)</f>
        <v>1</v>
      </c>
      <c r="BA61" s="249"/>
      <c r="BB61" s="542" t="s">
        <v>4</v>
      </c>
      <c r="BC61" s="532">
        <f>COUNTA(BC45:BC57)</f>
        <v>4</v>
      </c>
      <c r="BD61" s="532">
        <f>COUNTA(BD45:BD57)</f>
        <v>3</v>
      </c>
      <c r="BE61" s="532">
        <f>COUNTA(BE45:BE57)</f>
        <v>3</v>
      </c>
      <c r="BF61" s="532">
        <f>COUNTA(BF45:BF57)</f>
        <v>3</v>
      </c>
      <c r="BG61" s="541">
        <f>SUM(BC61:BF61)</f>
        <v>13</v>
      </c>
      <c r="BH61" s="607"/>
      <c r="BI61" s="541">
        <f>SUM(BJ61:BM61)</f>
        <v>13</v>
      </c>
      <c r="BJ61" s="532">
        <f>COUNTA(BJ45:BJ57)</f>
        <v>4</v>
      </c>
      <c r="BK61" s="532">
        <f>COUNTA(BK45:BK57)</f>
        <v>3</v>
      </c>
      <c r="BL61" s="532">
        <f>COUNTA(BL45:BL57)</f>
        <v>3</v>
      </c>
      <c r="BM61" s="532">
        <f>COUNTA(BM45:BM57)</f>
        <v>3</v>
      </c>
      <c r="BN61" s="605"/>
      <c r="BO61" s="542" t="s">
        <v>4</v>
      </c>
      <c r="BP61" s="532">
        <f>COUNTA(BP45:BP57)</f>
        <v>3</v>
      </c>
      <c r="BQ61" s="532">
        <f>COUNTA(BQ45:BQ57)</f>
        <v>3</v>
      </c>
      <c r="BR61" s="532">
        <f>COUNTA(BR45:BR57)</f>
        <v>2</v>
      </c>
      <c r="BS61" s="532">
        <f>COUNTA(BS45:BS57)</f>
        <v>2</v>
      </c>
      <c r="BT61" s="541">
        <f>SUM(BP61:BS61)</f>
        <v>10</v>
      </c>
      <c r="BU61" s="607"/>
      <c r="BV61" s="541">
        <f>SUM(BW61:BZ61)</f>
        <v>9</v>
      </c>
      <c r="BW61" s="532">
        <f>COUNTA(BW45:BW57)</f>
        <v>3</v>
      </c>
      <c r="BX61" s="532">
        <f>COUNTA(BX45:BX57)</f>
        <v>2</v>
      </c>
      <c r="BY61" s="532">
        <f>COUNTA(BY45:BY57)</f>
        <v>2</v>
      </c>
      <c r="BZ61" s="532">
        <f>COUNTA(BZ45:BZ57)</f>
        <v>2</v>
      </c>
      <c r="CA61" s="605"/>
      <c r="CB61" s="542" t="s">
        <v>4</v>
      </c>
      <c r="CC61" s="532">
        <f>COUNTA(CC45:CC57)</f>
        <v>3</v>
      </c>
      <c r="CD61" s="532">
        <f>COUNTA(CD45:CD57)</f>
        <v>2</v>
      </c>
      <c r="CE61" s="532">
        <f>COUNTA(CE45:CE57)</f>
        <v>2</v>
      </c>
      <c r="CF61" s="532">
        <f>COUNTA(CF45:CF57)</f>
        <v>2</v>
      </c>
      <c r="CG61" s="541">
        <f>SUM(CC61:CF61)</f>
        <v>9</v>
      </c>
      <c r="CH61" s="607"/>
      <c r="CI61" s="541">
        <f>SUM(CJ61:CM61)</f>
        <v>8</v>
      </c>
      <c r="CJ61" s="532">
        <f>COUNTA(CJ45:CJ57)</f>
        <v>2</v>
      </c>
      <c r="CK61" s="532">
        <f>COUNTA(CK45:CK57)</f>
        <v>2</v>
      </c>
      <c r="CL61" s="532">
        <f>COUNTA(CL45:CL57)</f>
        <v>2</v>
      </c>
      <c r="CM61" s="532">
        <f>COUNTA(CM45:CM57)</f>
        <v>2</v>
      </c>
      <c r="CN61" s="605"/>
    </row>
    <row r="62" spans="1:92" ht="15">
      <c r="A62" s="1537"/>
      <c r="B62" s="64" t="s">
        <v>6</v>
      </c>
      <c r="C62" s="65">
        <f>C61-COUNT(C45:C57)</f>
        <v>0</v>
      </c>
      <c r="D62" s="65">
        <f>D61-COUNT(D45:D57)</f>
        <v>1</v>
      </c>
      <c r="E62" s="65">
        <f>E61-COUNT(E45:E57)</f>
        <v>1</v>
      </c>
      <c r="F62" s="65">
        <f>F61-COUNT(F45:F57)</f>
        <v>0</v>
      </c>
      <c r="G62" s="66">
        <f>SUM(C62:F62)</f>
        <v>2</v>
      </c>
      <c r="H62" s="251"/>
      <c r="I62" s="66">
        <f>SUM(J62:M62)</f>
        <v>0</v>
      </c>
      <c r="J62" s="52">
        <f>J61-COUNT(J45:J57)</f>
        <v>0</v>
      </c>
      <c r="K62" s="52">
        <f>K61-COUNT(K45:K57)</f>
        <v>0</v>
      </c>
      <c r="L62" s="52">
        <f>L61-COUNT(L45:L57)</f>
        <v>0</v>
      </c>
      <c r="M62" s="52">
        <f>M61-COUNT(M45:M57)</f>
        <v>0</v>
      </c>
      <c r="N62" s="248"/>
      <c r="O62" s="64" t="s">
        <v>6</v>
      </c>
      <c r="P62" s="65">
        <f>P61-COUNT(P45:P57)</f>
        <v>1</v>
      </c>
      <c r="Q62" s="65">
        <f>Q61-COUNT(Q45:Q57)</f>
        <v>0</v>
      </c>
      <c r="R62" s="65">
        <f>R61-COUNT(R45:R57)</f>
        <v>0</v>
      </c>
      <c r="S62" s="65">
        <f>S61-COUNT(S45:S57)</f>
        <v>0</v>
      </c>
      <c r="T62" s="66">
        <f>SUM(P62:S62)</f>
        <v>1</v>
      </c>
      <c r="U62" s="251"/>
      <c r="V62" s="66">
        <f>SUM(W62:Z62)</f>
        <v>2</v>
      </c>
      <c r="W62" s="52">
        <f>W61-COUNT(W45:W57)</f>
        <v>1</v>
      </c>
      <c r="X62" s="52">
        <f>X61-COUNT(X45:X57)</f>
        <v>0</v>
      </c>
      <c r="Y62" s="52">
        <f>Y61-COUNT(Y45:Y57)</f>
        <v>1</v>
      </c>
      <c r="Z62" s="52">
        <f>Z61-COUNT(Z45:Z57)</f>
        <v>0</v>
      </c>
      <c r="AA62" s="248"/>
      <c r="AB62" s="61"/>
      <c r="AC62" s="68"/>
      <c r="AD62" s="69"/>
      <c r="AE62" s="69"/>
      <c r="AF62" s="69"/>
      <c r="AG62" s="70"/>
      <c r="AH62" s="248"/>
      <c r="AI62" s="70"/>
      <c r="AJ62" s="69"/>
      <c r="AK62" s="71"/>
      <c r="AL62" s="71"/>
      <c r="AM62" s="69"/>
      <c r="AN62" s="248"/>
      <c r="AO62" s="64" t="s">
        <v>6</v>
      </c>
      <c r="AP62" s="65">
        <f>AP61-COUNT(AP45:AP57)</f>
        <v>0</v>
      </c>
      <c r="AQ62" s="65">
        <f>AQ61-COUNT(AQ45:AQ57)</f>
        <v>1</v>
      </c>
      <c r="AR62" s="65">
        <f>AR61-COUNT(AR45:AR57)</f>
        <v>0</v>
      </c>
      <c r="AS62" s="65">
        <f>AS61-COUNT(AS45:AS57)</f>
        <v>0</v>
      </c>
      <c r="AT62" s="66">
        <f>SUM(AP62:AS62)</f>
        <v>1</v>
      </c>
      <c r="AU62" s="251"/>
      <c r="AV62" s="66">
        <f>SUM(AW62:AZ62)</f>
        <v>1</v>
      </c>
      <c r="AW62" s="52">
        <f>AW61-COUNT(AW45:AW56)</f>
        <v>1</v>
      </c>
      <c r="AX62" s="52">
        <f>AX61-COUNT(AX45:AX56)</f>
        <v>0</v>
      </c>
      <c r="AY62" s="52">
        <f>AY61-COUNT(AY45:AY57)</f>
        <v>0</v>
      </c>
      <c r="AZ62" s="52">
        <f>AZ61-COUNT(AZ45:AZ57)</f>
        <v>0</v>
      </c>
      <c r="BA62" s="249"/>
      <c r="BB62" s="539" t="s">
        <v>6</v>
      </c>
      <c r="BC62" s="540">
        <f>BC61-COUNT(BC45:BC57)</f>
        <v>1</v>
      </c>
      <c r="BD62" s="540">
        <f>BD61-COUNT(BD45:BD57)</f>
        <v>0</v>
      </c>
      <c r="BE62" s="540">
        <f>BE61-COUNT(BE45:BE57)</f>
        <v>1</v>
      </c>
      <c r="BF62" s="540">
        <f>BF61-COUNT(BF45:BF57)</f>
        <v>1</v>
      </c>
      <c r="BG62" s="541">
        <f>SUM(BC62:BF62)</f>
        <v>3</v>
      </c>
      <c r="BH62" s="607"/>
      <c r="BI62" s="541">
        <f>SUM(BJ62:BM62)</f>
        <v>2</v>
      </c>
      <c r="BJ62" s="531">
        <f>BJ61-COUNT(BJ45:BJ57)</f>
        <v>1</v>
      </c>
      <c r="BK62" s="531">
        <f>BK61-COUNT(BK45:BK57)</f>
        <v>0</v>
      </c>
      <c r="BL62" s="531">
        <f>BL61-COUNT(BL45:BL57)</f>
        <v>0</v>
      </c>
      <c r="BM62" s="531">
        <f>BM61-COUNT(BM45:BM57)</f>
        <v>1</v>
      </c>
      <c r="BN62" s="605"/>
      <c r="BO62" s="539" t="s">
        <v>6</v>
      </c>
      <c r="BP62" s="540">
        <f>BP61-COUNT(BP45:BP57)</f>
        <v>1</v>
      </c>
      <c r="BQ62" s="540">
        <f>BQ61-COUNT(BQ45:BQ57)</f>
        <v>0</v>
      </c>
      <c r="BR62" s="540">
        <f>BR61-COUNT(BR45:BR57)</f>
        <v>1</v>
      </c>
      <c r="BS62" s="540">
        <f>BS61-COUNT(BS45:BS57)</f>
        <v>0</v>
      </c>
      <c r="BT62" s="541">
        <f>SUM(BP62:BS62)</f>
        <v>2</v>
      </c>
      <c r="BU62" s="607"/>
      <c r="BV62" s="541">
        <f>SUM(BW62:BZ62)</f>
        <v>2</v>
      </c>
      <c r="BW62" s="531">
        <f>BW61-COUNT(BW45:BW57)</f>
        <v>0</v>
      </c>
      <c r="BX62" s="531">
        <f>BX61-COUNT(BX45:BX57)</f>
        <v>0</v>
      </c>
      <c r="BY62" s="531">
        <f>BY61-COUNT(BY45:BY57)</f>
        <v>1</v>
      </c>
      <c r="BZ62" s="531">
        <f>BZ61-COUNT(BZ45:BZ57)</f>
        <v>1</v>
      </c>
      <c r="CA62" s="605"/>
      <c r="CB62" s="539" t="s">
        <v>6</v>
      </c>
      <c r="CC62" s="540">
        <f>CC61-COUNT(CC45:CC57)</f>
        <v>1</v>
      </c>
      <c r="CD62" s="540">
        <f>CD61-COUNT(CD45:CD57)</f>
        <v>0</v>
      </c>
      <c r="CE62" s="540">
        <f>CE61-COUNT(CE45:CE57)</f>
        <v>0</v>
      </c>
      <c r="CF62" s="540">
        <f>CF61-COUNT(CF45:CF57)</f>
        <v>0</v>
      </c>
      <c r="CG62" s="541">
        <f>SUM(CC62:CF62)</f>
        <v>1</v>
      </c>
      <c r="CH62" s="607"/>
      <c r="CI62" s="541">
        <f>SUM(CJ62:CM62)</f>
        <v>2</v>
      </c>
      <c r="CJ62" s="531">
        <f>CJ61-COUNT(CJ45:CJ57)</f>
        <v>0</v>
      </c>
      <c r="CK62" s="531">
        <f>CK61-COUNT(CK45:CK57)</f>
        <v>0</v>
      </c>
      <c r="CL62" s="531">
        <f>CL61-COUNT(CL45:CL57)</f>
        <v>1</v>
      </c>
      <c r="CM62" s="531">
        <f>CM61-COUNT(CM45:CM57)</f>
        <v>1</v>
      </c>
      <c r="CN62" s="605"/>
    </row>
    <row r="63" spans="1:92" ht="15">
      <c r="A63" s="1537"/>
      <c r="B63" s="64" t="s">
        <v>12</v>
      </c>
      <c r="C63" s="72">
        <f>C62/C61</f>
        <v>0</v>
      </c>
      <c r="D63" s="73">
        <f>D62/D61</f>
        <v>0.5</v>
      </c>
      <c r="E63" s="73">
        <f>E62/E61</f>
        <v>0.5</v>
      </c>
      <c r="F63" s="73">
        <f>F62/F61</f>
        <v>0</v>
      </c>
      <c r="G63" s="74">
        <f>G62/G61</f>
        <v>0.25</v>
      </c>
      <c r="H63" s="251"/>
      <c r="I63" s="74">
        <f>I62/I61</f>
        <v>0</v>
      </c>
      <c r="J63" s="72">
        <f>J62/J61</f>
        <v>0</v>
      </c>
      <c r="K63" s="72">
        <f>K62/K61</f>
        <v>0</v>
      </c>
      <c r="L63" s="72">
        <f>L62/L61</f>
        <v>0</v>
      </c>
      <c r="M63" s="72">
        <f>M62/M61</f>
        <v>0</v>
      </c>
      <c r="N63" s="248"/>
      <c r="O63" s="64" t="s">
        <v>12</v>
      </c>
      <c r="P63" s="72">
        <f>P62/P61</f>
        <v>0.5</v>
      </c>
      <c r="Q63" s="73">
        <f>Q62/Q61</f>
        <v>0</v>
      </c>
      <c r="R63" s="73">
        <f>R62/R61</f>
        <v>0</v>
      </c>
      <c r="S63" s="73">
        <f>S62/S61</f>
        <v>0</v>
      </c>
      <c r="T63" s="74">
        <f>T62/T61</f>
        <v>0.14285714285714285</v>
      </c>
      <c r="U63" s="251"/>
      <c r="V63" s="74">
        <f>V62/V61</f>
        <v>0.33333333333333331</v>
      </c>
      <c r="W63" s="72">
        <f>W62/W61</f>
        <v>0.5</v>
      </c>
      <c r="X63" s="72">
        <f>X62/X61</f>
        <v>0</v>
      </c>
      <c r="Y63" s="72">
        <f>Y62/Y61</f>
        <v>1</v>
      </c>
      <c r="Z63" s="72">
        <f>Z62/Z61</f>
        <v>0</v>
      </c>
      <c r="AA63" s="248"/>
      <c r="AB63" s="61"/>
      <c r="AC63" s="76"/>
      <c r="AD63" s="76"/>
      <c r="AE63" s="76"/>
      <c r="AF63" s="76"/>
      <c r="AG63" s="77"/>
      <c r="AH63" s="248"/>
      <c r="AI63" s="77"/>
      <c r="AJ63" s="76"/>
      <c r="AK63" s="76"/>
      <c r="AL63" s="76"/>
      <c r="AM63" s="78"/>
      <c r="AN63" s="248"/>
      <c r="AO63" s="64" t="s">
        <v>12</v>
      </c>
      <c r="AP63" s="72">
        <f>AP62/AP61</f>
        <v>0</v>
      </c>
      <c r="AQ63" s="73">
        <f>AQ62/AQ61</f>
        <v>0.5</v>
      </c>
      <c r="AR63" s="73">
        <f>AR62/AR61</f>
        <v>0</v>
      </c>
      <c r="AS63" s="73">
        <f>AS62/AS61</f>
        <v>0</v>
      </c>
      <c r="AT63" s="74">
        <f>AT62/AT61</f>
        <v>0.14285714285714285</v>
      </c>
      <c r="AU63" s="251"/>
      <c r="AV63" s="74">
        <f>AV62/AV61</f>
        <v>0.16666666666666666</v>
      </c>
      <c r="AW63" s="72">
        <f>AW62/AW61</f>
        <v>0.5</v>
      </c>
      <c r="AX63" s="72">
        <f>AX62/AX61</f>
        <v>0</v>
      </c>
      <c r="AY63" s="72">
        <f>AY62/AY61</f>
        <v>0</v>
      </c>
      <c r="AZ63" s="72">
        <f>AZ62/AZ61</f>
        <v>0</v>
      </c>
      <c r="BA63" s="249"/>
      <c r="BB63" s="539" t="s">
        <v>12</v>
      </c>
      <c r="BC63" s="546">
        <f>BC62/BC61</f>
        <v>0.25</v>
      </c>
      <c r="BD63" s="547">
        <f>BD62/BD61</f>
        <v>0</v>
      </c>
      <c r="BE63" s="547">
        <f>BE62/BE61</f>
        <v>0.33333333333333331</v>
      </c>
      <c r="BF63" s="547">
        <f>BF62/BF61</f>
        <v>0.33333333333333331</v>
      </c>
      <c r="BG63" s="548">
        <f>BG62/BG61</f>
        <v>0.23076923076923078</v>
      </c>
      <c r="BH63" s="607"/>
      <c r="BI63" s="548">
        <f>BI62/BI61</f>
        <v>0.15384615384615385</v>
      </c>
      <c r="BJ63" s="546">
        <f>BJ62/BJ61</f>
        <v>0.25</v>
      </c>
      <c r="BK63" s="546">
        <f>BK62/BK61</f>
        <v>0</v>
      </c>
      <c r="BL63" s="546">
        <f>BL62/BL61</f>
        <v>0</v>
      </c>
      <c r="BM63" s="546">
        <f>BM62/BM61</f>
        <v>0.33333333333333331</v>
      </c>
      <c r="BN63" s="605"/>
      <c r="BO63" s="539" t="s">
        <v>12</v>
      </c>
      <c r="BP63" s="546">
        <f>BP62/BP61</f>
        <v>0.33333333333333331</v>
      </c>
      <c r="BQ63" s="547">
        <f>BQ62/BQ61</f>
        <v>0</v>
      </c>
      <c r="BR63" s="547">
        <f>BR62/BR61</f>
        <v>0.5</v>
      </c>
      <c r="BS63" s="547">
        <f>BS62/BS61</f>
        <v>0</v>
      </c>
      <c r="BT63" s="548">
        <f>BT62/BT61</f>
        <v>0.2</v>
      </c>
      <c r="BU63" s="607"/>
      <c r="BV63" s="548">
        <f>BV62/BV61</f>
        <v>0.22222222222222221</v>
      </c>
      <c r="BW63" s="546">
        <f>BW62/BW61</f>
        <v>0</v>
      </c>
      <c r="BX63" s="546">
        <f>BX62/BX61</f>
        <v>0</v>
      </c>
      <c r="BY63" s="546">
        <f>BY62/BY61</f>
        <v>0.5</v>
      </c>
      <c r="BZ63" s="546">
        <f>BZ62/BZ61</f>
        <v>0.5</v>
      </c>
      <c r="CA63" s="605"/>
      <c r="CB63" s="539" t="s">
        <v>12</v>
      </c>
      <c r="CC63" s="546">
        <f>CC62/CC61</f>
        <v>0.33333333333333331</v>
      </c>
      <c r="CD63" s="547">
        <f>CD62/CD61</f>
        <v>0</v>
      </c>
      <c r="CE63" s="547">
        <f>CE62/CE61</f>
        <v>0</v>
      </c>
      <c r="CF63" s="547">
        <f>CF62/CF61</f>
        <v>0</v>
      </c>
      <c r="CG63" s="548">
        <f>CG62/CG61</f>
        <v>0.1111111111111111</v>
      </c>
      <c r="CH63" s="607"/>
      <c r="CI63" s="548">
        <f>CI62/CI61</f>
        <v>0.25</v>
      </c>
      <c r="CJ63" s="546">
        <f>CJ62/CJ61</f>
        <v>0</v>
      </c>
      <c r="CK63" s="546">
        <f>CK62/CK61</f>
        <v>0</v>
      </c>
      <c r="CL63" s="546">
        <f>CL62/CL61</f>
        <v>0.5</v>
      </c>
      <c r="CM63" s="546">
        <f>CM62/CM61</f>
        <v>0.5</v>
      </c>
      <c r="CN63" s="605"/>
    </row>
    <row r="64" spans="1:92" ht="15">
      <c r="A64" s="1537"/>
      <c r="B64" s="64" t="s">
        <v>5</v>
      </c>
      <c r="C64" s="79">
        <f>C60/C61</f>
        <v>7</v>
      </c>
      <c r="D64" s="80">
        <f>D60/D61</f>
        <v>3</v>
      </c>
      <c r="E64" s="80">
        <f>E60/E61</f>
        <v>1</v>
      </c>
      <c r="F64" s="79">
        <f>F60/F61</f>
        <v>2.5</v>
      </c>
      <c r="G64" s="81">
        <f>G60/G61</f>
        <v>3.375</v>
      </c>
      <c r="H64" s="251"/>
      <c r="I64" s="81">
        <f>I60/I61</f>
        <v>6.25</v>
      </c>
      <c r="J64" s="79">
        <f>J60/J61</f>
        <v>9</v>
      </c>
      <c r="K64" s="79">
        <f>K60/K61</f>
        <v>6.5</v>
      </c>
      <c r="L64" s="79">
        <f>L60/L61</f>
        <v>2.5</v>
      </c>
      <c r="M64" s="79">
        <f>M60/M61</f>
        <v>7</v>
      </c>
      <c r="N64" s="248"/>
      <c r="O64" s="64" t="s">
        <v>5</v>
      </c>
      <c r="P64" s="79">
        <f>P60/P61</f>
        <v>4</v>
      </c>
      <c r="Q64" s="80">
        <f>Q60/Q61</f>
        <v>8.5</v>
      </c>
      <c r="R64" s="79">
        <f>R60/R61</f>
        <v>10</v>
      </c>
      <c r="S64" s="79">
        <f>S60/S61</f>
        <v>5</v>
      </c>
      <c r="T64" s="81">
        <f>T60/T61</f>
        <v>7.1428571428571432</v>
      </c>
      <c r="U64" s="251"/>
      <c r="V64" s="81">
        <f>V60/V61</f>
        <v>4.166666666666667</v>
      </c>
      <c r="W64" s="79">
        <f>W60/W61</f>
        <v>4</v>
      </c>
      <c r="X64" s="79">
        <f>X60/X61</f>
        <v>6</v>
      </c>
      <c r="Y64" s="79">
        <f>Y60/Y61</f>
        <v>0</v>
      </c>
      <c r="Z64" s="79">
        <f>Z60/Z61</f>
        <v>5</v>
      </c>
      <c r="AA64" s="248"/>
      <c r="AB64" s="61"/>
      <c r="AC64" s="82"/>
      <c r="AD64" s="82"/>
      <c r="AE64" s="82"/>
      <c r="AF64" s="82"/>
      <c r="AG64" s="83"/>
      <c r="AH64" s="248"/>
      <c r="AI64" s="83"/>
      <c r="AJ64" s="82"/>
      <c r="AK64" s="76"/>
      <c r="AL64" s="76"/>
      <c r="AM64" s="78"/>
      <c r="AN64" s="248"/>
      <c r="AO64" s="64" t="s">
        <v>5</v>
      </c>
      <c r="AP64" s="79">
        <f>AP60/AP61</f>
        <v>8</v>
      </c>
      <c r="AQ64" s="80">
        <f>AQ60/AQ61</f>
        <v>3.5</v>
      </c>
      <c r="AR64" s="80">
        <f>AR60/AR61</f>
        <v>8</v>
      </c>
      <c r="AS64" s="79">
        <f>AS60/AS61</f>
        <v>11</v>
      </c>
      <c r="AT64" s="81">
        <f>AT60/AT61</f>
        <v>7.1428571428571432</v>
      </c>
      <c r="AU64" s="251"/>
      <c r="AV64" s="81">
        <f>AV60/AV61</f>
        <v>5</v>
      </c>
      <c r="AW64" s="79">
        <f>AW60/AW61</f>
        <v>5</v>
      </c>
      <c r="AX64" s="79">
        <f>AX60/AX61</f>
        <v>3</v>
      </c>
      <c r="AY64" s="79">
        <f>AY60/AY61</f>
        <v>3</v>
      </c>
      <c r="AZ64" s="79">
        <f>AZ60/AZ61</f>
        <v>11</v>
      </c>
      <c r="BA64" s="249"/>
      <c r="BB64" s="539" t="s">
        <v>5</v>
      </c>
      <c r="BC64" s="553">
        <f>BC60/BC61</f>
        <v>5.25</v>
      </c>
      <c r="BD64" s="554">
        <f>BD60/BD61</f>
        <v>8.3333333333333339</v>
      </c>
      <c r="BE64" s="554">
        <f>BE60/BE61</f>
        <v>3.6666666666666665</v>
      </c>
      <c r="BF64" s="553">
        <f>BF60/BF61</f>
        <v>-7</v>
      </c>
      <c r="BG64" s="555">
        <f>BG60/BG61</f>
        <v>2.7692307692307692</v>
      </c>
      <c r="BH64" s="607"/>
      <c r="BI64" s="555">
        <f>BI60/BI61</f>
        <v>3.8461538461538463</v>
      </c>
      <c r="BJ64" s="553">
        <f>BJ60/BJ61</f>
        <v>5.5</v>
      </c>
      <c r="BK64" s="553">
        <f>BK60/BK61</f>
        <v>11</v>
      </c>
      <c r="BL64" s="553">
        <f>BL60/BL61</f>
        <v>2.3333333333333335</v>
      </c>
      <c r="BM64" s="553">
        <f>BM60/BM61</f>
        <v>-4</v>
      </c>
      <c r="BN64" s="605"/>
      <c r="BO64" s="539" t="s">
        <v>5</v>
      </c>
      <c r="BP64" s="553">
        <f>BP60/BP61</f>
        <v>6.666666666666667</v>
      </c>
      <c r="BQ64" s="554">
        <f>BQ60/BQ61</f>
        <v>6.666666666666667</v>
      </c>
      <c r="BR64" s="554">
        <f>BR60/BR61</f>
        <v>2.5</v>
      </c>
      <c r="BS64" s="553">
        <f>BS60/BS61</f>
        <v>2.5</v>
      </c>
      <c r="BT64" s="555">
        <f>BT60/BT61</f>
        <v>5</v>
      </c>
      <c r="BU64" s="607"/>
      <c r="BV64" s="555">
        <f>BV60/BV61</f>
        <v>3.7777777777777777</v>
      </c>
      <c r="BW64" s="553">
        <f>BW60/BW61</f>
        <v>4.333333333333333</v>
      </c>
      <c r="BX64" s="553">
        <f>BX60/BX61</f>
        <v>7.5</v>
      </c>
      <c r="BY64" s="553">
        <f>BY60/BY61</f>
        <v>1.5</v>
      </c>
      <c r="BZ64" s="553">
        <f>BZ60/BZ61</f>
        <v>1.5</v>
      </c>
      <c r="CA64" s="605"/>
      <c r="CB64" s="539" t="s">
        <v>5</v>
      </c>
      <c r="CC64" s="553">
        <f>CC60/CC61</f>
        <v>2.6666666666666665</v>
      </c>
      <c r="CD64" s="554">
        <f>CD60/CD61</f>
        <v>8</v>
      </c>
      <c r="CE64" s="554">
        <f>CE60/CE61</f>
        <v>9.5</v>
      </c>
      <c r="CF64" s="553">
        <f>CF60/CF61</f>
        <v>3.5</v>
      </c>
      <c r="CG64" s="555">
        <f>CG60/CG61</f>
        <v>5.5555555555555554</v>
      </c>
      <c r="CH64" s="607"/>
      <c r="CI64" s="555">
        <f>CI60/CI61</f>
        <v>3.25</v>
      </c>
      <c r="CJ64" s="553">
        <f>CJ60/CJ61</f>
        <v>6.5</v>
      </c>
      <c r="CK64" s="553">
        <f>CK60/CK61</f>
        <v>2.5</v>
      </c>
      <c r="CL64" s="553">
        <f>CL60/CL61</f>
        <v>2.5</v>
      </c>
      <c r="CM64" s="553">
        <f>CM60/CM61</f>
        <v>1.5</v>
      </c>
      <c r="CN64" s="605"/>
    </row>
    <row r="65" spans="1:92" ht="15">
      <c r="A65" s="1537"/>
      <c r="B65" s="64" t="s">
        <v>8</v>
      </c>
      <c r="C65" s="79">
        <v>0</v>
      </c>
      <c r="D65" s="80">
        <f>D60/(D61-D62)</f>
        <v>6</v>
      </c>
      <c r="E65" s="80">
        <f>E60/(E61-E62)</f>
        <v>2</v>
      </c>
      <c r="F65" s="84">
        <f>F60/(F61-F62)</f>
        <v>2.5</v>
      </c>
      <c r="G65" s="85">
        <f>G60/(G61-G62)</f>
        <v>4.5</v>
      </c>
      <c r="H65" s="251"/>
      <c r="I65" s="85">
        <f>I60/(I61-I62)</f>
        <v>6.25</v>
      </c>
      <c r="J65" s="84">
        <f>J60/(J61-J62)</f>
        <v>9</v>
      </c>
      <c r="K65" s="84">
        <f>K60/(K61-K62)</f>
        <v>6.5</v>
      </c>
      <c r="L65" s="84">
        <f>L60/(L61-L62)</f>
        <v>2.5</v>
      </c>
      <c r="M65" s="84">
        <f>M60/(M61-M62)</f>
        <v>7</v>
      </c>
      <c r="N65" s="248"/>
      <c r="O65" s="64" t="s">
        <v>8</v>
      </c>
      <c r="P65" s="79">
        <f>P60/(P61-P62)</f>
        <v>8</v>
      </c>
      <c r="Q65" s="80">
        <f>Q60/(Q61-Q62)</f>
        <v>8.5</v>
      </c>
      <c r="R65" s="84">
        <f>R60/(R61-R62)</f>
        <v>10</v>
      </c>
      <c r="S65" s="84">
        <f>S60/(S61-S62)</f>
        <v>5</v>
      </c>
      <c r="T65" s="85">
        <f>T60/(T61-T62)</f>
        <v>8.3333333333333339</v>
      </c>
      <c r="U65" s="251"/>
      <c r="V65" s="85">
        <f>V60/(V61-V62)</f>
        <v>6.25</v>
      </c>
      <c r="W65" s="84">
        <f>W60/(W61-W62)</f>
        <v>8</v>
      </c>
      <c r="X65" s="84">
        <f>X60/(X61-X62)</f>
        <v>6</v>
      </c>
      <c r="Y65" s="660">
        <v>0</v>
      </c>
      <c r="Z65" s="84">
        <f>Z60/(Z61-Z62)</f>
        <v>5</v>
      </c>
      <c r="AA65" s="248"/>
      <c r="AB65" s="248"/>
      <c r="AC65" s="248"/>
      <c r="AD65" s="248"/>
      <c r="AE65" s="248"/>
      <c r="AF65" s="248"/>
      <c r="AG65" s="248"/>
      <c r="AH65" s="248"/>
      <c r="AI65" s="248"/>
      <c r="AJ65" s="248"/>
      <c r="AK65" s="248"/>
      <c r="AL65" s="248"/>
      <c r="AM65" s="248"/>
      <c r="AN65" s="248"/>
      <c r="AO65" s="64" t="s">
        <v>8</v>
      </c>
      <c r="AP65" s="79">
        <f>AP60/(AP61-AP62)</f>
        <v>8</v>
      </c>
      <c r="AQ65" s="80">
        <f>AQ60/(AQ61-AQ62)</f>
        <v>7</v>
      </c>
      <c r="AR65" s="80">
        <v>0</v>
      </c>
      <c r="AS65" s="84">
        <f>AS60/(AS61-AS62)</f>
        <v>11</v>
      </c>
      <c r="AT65" s="85">
        <f>AT60/(AT61-AT62)</f>
        <v>8.3333333333333339</v>
      </c>
      <c r="AU65" s="251"/>
      <c r="AV65" s="85">
        <f>AV60/(AV61-AV62)</f>
        <v>6</v>
      </c>
      <c r="AW65" s="84">
        <f>AW60/(AW61-AW62)</f>
        <v>10</v>
      </c>
      <c r="AX65" s="84">
        <f>AX60/(AX61-AX62)</f>
        <v>3</v>
      </c>
      <c r="AY65" s="84">
        <f>AY60/(AY61-AY62)</f>
        <v>3</v>
      </c>
      <c r="AZ65" s="84">
        <v>0</v>
      </c>
      <c r="BA65" s="249"/>
      <c r="BB65" s="539" t="s">
        <v>8</v>
      </c>
      <c r="BC65" s="553">
        <f>BC60/(BC61-BC62)</f>
        <v>7</v>
      </c>
      <c r="BD65" s="554">
        <f>BD60/(BD61-BD62)</f>
        <v>8.3333333333333339</v>
      </c>
      <c r="BE65" s="554">
        <v>0</v>
      </c>
      <c r="BF65" s="558">
        <f>BF60/(BF61-BF62)</f>
        <v>-10.5</v>
      </c>
      <c r="BG65" s="559">
        <f>BG60/(BG61-BG62)</f>
        <v>3.6</v>
      </c>
      <c r="BH65" s="607"/>
      <c r="BI65" s="559">
        <f>BI60/(BI61-BI62)</f>
        <v>4.5454545454545459</v>
      </c>
      <c r="BJ65" s="558">
        <f>BJ60/(BJ61-BJ62)</f>
        <v>7.333333333333333</v>
      </c>
      <c r="BK65" s="558">
        <f>BK60/(BK61-BK62)</f>
        <v>11</v>
      </c>
      <c r="BL65" s="558">
        <f>BL60/(BL61-BL62)</f>
        <v>2.3333333333333335</v>
      </c>
      <c r="BM65" s="558">
        <v>0</v>
      </c>
      <c r="BN65" s="605"/>
      <c r="BO65" s="539" t="s">
        <v>8</v>
      </c>
      <c r="BP65" s="553">
        <f>BP60/(BP61-BP62)</f>
        <v>10</v>
      </c>
      <c r="BQ65" s="554">
        <f>BQ60/(BQ61-BQ62)</f>
        <v>6.666666666666667</v>
      </c>
      <c r="BR65" s="554">
        <v>0</v>
      </c>
      <c r="BS65" s="558">
        <f>BS60/(BS61-BS62)</f>
        <v>2.5</v>
      </c>
      <c r="BT65" s="559">
        <f>BT60/(BT61-BT62)</f>
        <v>6.25</v>
      </c>
      <c r="BU65" s="607"/>
      <c r="BV65" s="559">
        <f>BV60/(BV61-BV62)</f>
        <v>4.8571428571428568</v>
      </c>
      <c r="BW65" s="558">
        <f>BW60/(BW61-BW62)</f>
        <v>4.333333333333333</v>
      </c>
      <c r="BX65" s="558">
        <f>BX60/(BX61-BX62)</f>
        <v>7.5</v>
      </c>
      <c r="BY65" s="558">
        <f>BY60/(BY61-BY62)</f>
        <v>3</v>
      </c>
      <c r="BZ65" s="558">
        <v>0</v>
      </c>
      <c r="CA65" s="605"/>
      <c r="CB65" s="539" t="s">
        <v>8</v>
      </c>
      <c r="CC65" s="553">
        <f>CC60/(CC61-CC62)</f>
        <v>4</v>
      </c>
      <c r="CD65" s="554">
        <f>CD60/(CD61-CD62)</f>
        <v>8</v>
      </c>
      <c r="CE65" s="554">
        <v>0</v>
      </c>
      <c r="CF65" s="558">
        <f>CF60/(CF61-CF62)</f>
        <v>3.5</v>
      </c>
      <c r="CG65" s="559">
        <f>CG60/(CG61-CG62)</f>
        <v>6.25</v>
      </c>
      <c r="CH65" s="607"/>
      <c r="CI65" s="559">
        <f>CI60/(CI61-CI62)</f>
        <v>4.333333333333333</v>
      </c>
      <c r="CJ65" s="558">
        <f>CJ60/(CJ61-CJ62)</f>
        <v>6.5</v>
      </c>
      <c r="CK65" s="558">
        <f>CK60/(CK61-CK62)</f>
        <v>2.5</v>
      </c>
      <c r="CL65" s="558">
        <f>CL60/(CL61-CL62)</f>
        <v>5</v>
      </c>
      <c r="CM65" s="558">
        <v>0</v>
      </c>
      <c r="CN65" s="605"/>
    </row>
    <row r="66" spans="1:92" ht="15">
      <c r="A66" s="261"/>
      <c r="B66" s="50"/>
      <c r="C66" s="34"/>
      <c r="D66" s="34"/>
      <c r="E66" s="34"/>
      <c r="F66" s="34"/>
      <c r="G66" s="250"/>
      <c r="H66" s="248"/>
      <c r="I66" s="248"/>
      <c r="J66" s="248"/>
      <c r="K66" s="248"/>
      <c r="L66" s="248"/>
      <c r="M66" s="248"/>
      <c r="N66" s="248"/>
      <c r="O66" s="50"/>
      <c r="P66" s="34"/>
      <c r="Q66" s="34"/>
      <c r="R66" s="34"/>
      <c r="S66" s="34"/>
      <c r="T66" s="248"/>
      <c r="U66" s="248"/>
      <c r="V66" s="248"/>
      <c r="W66" s="248"/>
      <c r="X66" s="248"/>
      <c r="Y66" s="248"/>
      <c r="Z66" s="248"/>
      <c r="AA66" s="248"/>
      <c r="AB66" s="248"/>
      <c r="AC66" s="248"/>
      <c r="AD66" s="248"/>
      <c r="AE66" s="248"/>
      <c r="AF66" s="248"/>
      <c r="AG66" s="248"/>
      <c r="AH66" s="248"/>
      <c r="AI66" s="248"/>
      <c r="AJ66" s="248"/>
      <c r="AK66" s="248"/>
      <c r="AL66" s="248"/>
      <c r="AM66" s="248"/>
      <c r="AN66" s="248"/>
      <c r="AO66" s="248"/>
      <c r="AP66" s="248"/>
      <c r="AQ66" s="248"/>
      <c r="AR66" s="248"/>
      <c r="AS66" s="248"/>
      <c r="AT66" s="248"/>
      <c r="AU66" s="248"/>
      <c r="AV66" s="248"/>
      <c r="AW66" s="248"/>
      <c r="AX66" s="248"/>
      <c r="AY66" s="248"/>
      <c r="AZ66" s="248"/>
      <c r="BA66" s="249"/>
      <c r="BB66" s="604"/>
      <c r="BC66" s="604"/>
      <c r="BD66" s="604"/>
      <c r="BE66" s="604"/>
      <c r="BF66" s="604"/>
      <c r="BG66" s="604"/>
      <c r="BH66" s="604"/>
      <c r="BI66" s="604"/>
      <c r="BJ66" s="604"/>
      <c r="BK66" s="604"/>
      <c r="BL66" s="604"/>
      <c r="BM66" s="604"/>
      <c r="BN66" s="605"/>
      <c r="BO66" s="604"/>
      <c r="BP66" s="604"/>
      <c r="BQ66" s="604"/>
      <c r="BR66" s="604"/>
      <c r="BS66" s="604"/>
      <c r="BT66" s="604"/>
      <c r="BU66" s="604"/>
      <c r="BV66" s="604"/>
      <c r="BW66" s="604"/>
      <c r="BX66" s="604"/>
      <c r="BY66" s="604"/>
      <c r="BZ66" s="604"/>
      <c r="CA66" s="605"/>
      <c r="CB66" s="604"/>
      <c r="CC66" s="604"/>
      <c r="CD66" s="604"/>
      <c r="CE66" s="604"/>
      <c r="CF66" s="604"/>
      <c r="CG66" s="604"/>
      <c r="CH66" s="604"/>
      <c r="CI66" s="604"/>
      <c r="CJ66" s="604"/>
      <c r="CK66" s="604"/>
      <c r="CL66" s="604"/>
      <c r="CM66" s="604"/>
      <c r="CN66" s="605"/>
    </row>
    <row r="67" spans="1:92">
      <c r="A67" s="1537" t="s">
        <v>130</v>
      </c>
      <c r="B67" s="251"/>
      <c r="C67" s="1535" t="s">
        <v>130</v>
      </c>
      <c r="D67" s="1535"/>
      <c r="E67" s="1535"/>
      <c r="F67" s="1535"/>
      <c r="G67" s="251"/>
      <c r="H67" s="251"/>
      <c r="I67" s="251"/>
      <c r="J67" s="1536" t="s">
        <v>117</v>
      </c>
      <c r="K67" s="1536"/>
      <c r="L67" s="1536"/>
      <c r="M67" s="1536"/>
      <c r="N67" s="248"/>
      <c r="O67" s="251"/>
      <c r="P67" s="1535" t="s">
        <v>130</v>
      </c>
      <c r="Q67" s="1535"/>
      <c r="R67" s="1535"/>
      <c r="S67" s="1535"/>
      <c r="T67" s="251"/>
      <c r="U67" s="251"/>
      <c r="V67" s="251"/>
      <c r="W67" s="1536" t="s">
        <v>103</v>
      </c>
      <c r="X67" s="1536"/>
      <c r="Y67" s="1536"/>
      <c r="Z67" s="1536"/>
      <c r="AA67" s="248"/>
      <c r="AB67" s="251"/>
      <c r="AC67" s="1536" t="s">
        <v>130</v>
      </c>
      <c r="AD67" s="1536"/>
      <c r="AE67" s="1536"/>
      <c r="AF67" s="1536"/>
      <c r="AG67" s="251"/>
      <c r="AH67" s="251"/>
      <c r="AI67" s="251"/>
      <c r="AJ67" s="1535" t="s">
        <v>97</v>
      </c>
      <c r="AK67" s="1535"/>
      <c r="AL67" s="1535"/>
      <c r="AM67" s="1535"/>
      <c r="AN67" s="248"/>
      <c r="AO67" s="248"/>
      <c r="AP67" s="248"/>
      <c r="AQ67" s="248"/>
      <c r="AR67" s="248"/>
      <c r="AS67" s="248"/>
      <c r="AT67" s="248"/>
      <c r="AU67" s="248"/>
      <c r="AV67" s="248"/>
      <c r="AW67" s="248"/>
      <c r="AX67" s="248"/>
      <c r="AY67" s="248"/>
      <c r="AZ67" s="248"/>
      <c r="BA67" s="249"/>
      <c r="BB67" s="607"/>
      <c r="BC67" s="1536" t="s">
        <v>130</v>
      </c>
      <c r="BD67" s="1536"/>
      <c r="BE67" s="1536"/>
      <c r="BF67" s="1536"/>
      <c r="BG67" s="607"/>
      <c r="BH67" s="607"/>
      <c r="BI67" s="607"/>
      <c r="BJ67" s="1535" t="s">
        <v>143</v>
      </c>
      <c r="BK67" s="1535"/>
      <c r="BL67" s="1535"/>
      <c r="BM67" s="1535"/>
      <c r="BN67" s="604"/>
      <c r="BO67" s="607"/>
      <c r="BP67" s="1536" t="s">
        <v>130</v>
      </c>
      <c r="BQ67" s="1536"/>
      <c r="BR67" s="1536"/>
      <c r="BS67" s="1536"/>
      <c r="BT67" s="607"/>
      <c r="BU67" s="607"/>
      <c r="BV67" s="607"/>
      <c r="BW67" s="1535" t="s">
        <v>105</v>
      </c>
      <c r="BX67" s="1535"/>
      <c r="BY67" s="1535"/>
      <c r="BZ67" s="1535"/>
      <c r="CA67" s="604"/>
      <c r="CB67" s="607"/>
      <c r="CC67" s="1536" t="s">
        <v>130</v>
      </c>
      <c r="CD67" s="1536"/>
      <c r="CE67" s="1536"/>
      <c r="CF67" s="1536"/>
      <c r="CG67" s="607"/>
      <c r="CH67" s="607"/>
      <c r="CI67" s="607"/>
      <c r="CJ67" s="1535" t="s">
        <v>112</v>
      </c>
      <c r="CK67" s="1535"/>
      <c r="CL67" s="1535"/>
      <c r="CM67" s="1535"/>
      <c r="CN67" s="605"/>
    </row>
    <row r="68" spans="1:92" ht="15">
      <c r="A68" s="1537"/>
      <c r="B68" s="40"/>
      <c r="C68" s="568">
        <v>1</v>
      </c>
      <c r="D68" s="569">
        <v>2</v>
      </c>
      <c r="E68" s="570">
        <v>3</v>
      </c>
      <c r="F68" s="603">
        <v>4</v>
      </c>
      <c r="G68" s="41">
        <f>IF(COUNTIF(G70:G78,"&gt;37")=0,0,COUNTIF(G70:G78,"&gt;37")-1)</f>
        <v>1</v>
      </c>
      <c r="H68" s="251"/>
      <c r="I68" s="41">
        <f>IF(COUNTIF(I70:I78,"&gt;37")=0,0,COUNTIF(I70:I78,"&gt;37")-1)</f>
        <v>2</v>
      </c>
      <c r="J68" s="560">
        <v>1</v>
      </c>
      <c r="K68" s="561">
        <v>2</v>
      </c>
      <c r="L68" s="562">
        <v>3</v>
      </c>
      <c r="M68" s="566">
        <v>4</v>
      </c>
      <c r="N68" s="248"/>
      <c r="O68" s="40"/>
      <c r="P68" s="568">
        <v>1</v>
      </c>
      <c r="Q68" s="569">
        <v>2</v>
      </c>
      <c r="R68" s="570">
        <v>3</v>
      </c>
      <c r="S68" s="726">
        <v>4</v>
      </c>
      <c r="T68" s="41">
        <f>IF(COUNTIF(T70:T78,"&gt;37")=0,0,COUNTIF(T70:T78,"&gt;37")-1)</f>
        <v>0</v>
      </c>
      <c r="U68" s="251"/>
      <c r="V68" s="41">
        <f>IF(COUNTIF(V70:V78,"&gt;37")=0,0,COUNTIF(V70:V78,"&gt;37")-1)</f>
        <v>2</v>
      </c>
      <c r="W68" s="560">
        <v>1</v>
      </c>
      <c r="X68" s="561">
        <v>2</v>
      </c>
      <c r="Y68" s="562">
        <v>3</v>
      </c>
      <c r="Z68" s="725">
        <v>4</v>
      </c>
      <c r="AA68" s="248"/>
      <c r="AB68" s="40"/>
      <c r="AC68" s="560">
        <v>1</v>
      </c>
      <c r="AD68" s="561">
        <v>2</v>
      </c>
      <c r="AE68" s="562">
        <v>3</v>
      </c>
      <c r="AF68" s="566">
        <v>4</v>
      </c>
      <c r="AG68" s="41">
        <f>IF(COUNTIF(AG70:AG78,"&gt;37")=0,0,COUNTIF(AG70:AG78,"&gt;37")-1)</f>
        <v>2</v>
      </c>
      <c r="AH68" s="251"/>
      <c r="AI68" s="41">
        <f>IF(COUNTIF(AI70:AI78,"&gt;37")=0,0,COUNTIF(AI70:AI78,"&gt;37")-1)</f>
        <v>0</v>
      </c>
      <c r="AJ68" s="568">
        <v>1</v>
      </c>
      <c r="AK68" s="569">
        <v>2</v>
      </c>
      <c r="AL68" s="570">
        <v>3</v>
      </c>
      <c r="AM68" s="603">
        <v>4</v>
      </c>
      <c r="AN68" s="248"/>
      <c r="AO68" s="50"/>
      <c r="AP68" s="38"/>
      <c r="AQ68" s="34"/>
      <c r="AR68" s="34"/>
      <c r="AS68" s="34"/>
      <c r="AT68" s="256"/>
      <c r="AU68" s="248"/>
      <c r="AV68" s="38"/>
      <c r="AW68" s="39"/>
      <c r="AX68" s="39"/>
      <c r="AY68" s="39"/>
      <c r="AZ68" s="39"/>
      <c r="BA68" s="262"/>
      <c r="BB68" s="522"/>
      <c r="BC68" s="560">
        <v>1</v>
      </c>
      <c r="BD68" s="561">
        <v>2</v>
      </c>
      <c r="BE68" s="562">
        <v>3</v>
      </c>
      <c r="BF68" s="566">
        <v>4</v>
      </c>
      <c r="BG68" s="523">
        <f>IF(COUNTIF(BG70:BG78,"&gt;37")=0,0,COUNTIF(BG70:BG78,"&gt;37")-1)</f>
        <v>1</v>
      </c>
      <c r="BH68" s="607"/>
      <c r="BI68" s="486">
        <v>0</v>
      </c>
      <c r="BJ68" s="568">
        <v>1</v>
      </c>
      <c r="BK68" s="569">
        <v>2</v>
      </c>
      <c r="BL68" s="570">
        <v>3</v>
      </c>
      <c r="BM68" s="603">
        <v>4</v>
      </c>
      <c r="BN68" s="604"/>
      <c r="BO68" s="522"/>
      <c r="BP68" s="560">
        <v>1</v>
      </c>
      <c r="BQ68" s="561">
        <v>2</v>
      </c>
      <c r="BR68" s="562">
        <v>3</v>
      </c>
      <c r="BS68" s="566">
        <v>4</v>
      </c>
      <c r="BT68" s="523">
        <f>IF(COUNTIF(BT70:BT78,"&gt;37")=0,0,COUNTIF(BT70:BT78,"&gt;37")-1)</f>
        <v>3</v>
      </c>
      <c r="BU68" s="607"/>
      <c r="BV68" s="523">
        <f>IF(COUNTIF(BV70:BV78,"&gt;37")=0,0,COUNTIF(BV70:BV78,"&gt;37")-1)</f>
        <v>0</v>
      </c>
      <c r="BW68" s="568">
        <v>1</v>
      </c>
      <c r="BX68" s="569">
        <v>2</v>
      </c>
      <c r="BY68" s="570">
        <v>3</v>
      </c>
      <c r="BZ68" s="603">
        <v>4</v>
      </c>
      <c r="CA68" s="604"/>
      <c r="CB68" s="522"/>
      <c r="CC68" s="560">
        <v>1</v>
      </c>
      <c r="CD68" s="561">
        <v>2</v>
      </c>
      <c r="CE68" s="562">
        <v>3</v>
      </c>
      <c r="CF68" s="566">
        <v>4</v>
      </c>
      <c r="CG68" s="523">
        <f>IF(COUNTIF(CG70:CG78,"&gt;37")=0,0,COUNTIF(CG70:CG78,"&gt;37")-1)</f>
        <v>2</v>
      </c>
      <c r="CH68" s="607"/>
      <c r="CI68" s="523">
        <f>IF(COUNTIF(CI70:CI78,"&gt;37")=0,0,COUNTIF(CI70:CI78,"&gt;37")-1)</f>
        <v>0</v>
      </c>
      <c r="CJ68" s="568">
        <v>1</v>
      </c>
      <c r="CK68" s="569">
        <v>2</v>
      </c>
      <c r="CL68" s="570">
        <v>3</v>
      </c>
      <c r="CM68" s="603">
        <v>4</v>
      </c>
      <c r="CN68" s="618"/>
    </row>
    <row r="69" spans="1:92" ht="60.75">
      <c r="A69" s="1537"/>
      <c r="B69" s="47"/>
      <c r="C69" s="592" t="s">
        <v>99</v>
      </c>
      <c r="D69" s="592" t="s">
        <v>113</v>
      </c>
      <c r="E69" s="592" t="s">
        <v>100</v>
      </c>
      <c r="F69" s="592" t="s">
        <v>102</v>
      </c>
      <c r="G69" s="49"/>
      <c r="H69" s="254"/>
      <c r="I69" s="255"/>
      <c r="J69" s="475" t="s">
        <v>119</v>
      </c>
      <c r="K69" s="475" t="s">
        <v>120</v>
      </c>
      <c r="L69" s="475" t="s">
        <v>121</v>
      </c>
      <c r="M69" s="475" t="s">
        <v>118</v>
      </c>
      <c r="N69" s="252"/>
      <c r="O69" s="47"/>
      <c r="P69" s="592" t="s">
        <v>147</v>
      </c>
      <c r="Q69" s="592" t="s">
        <v>99</v>
      </c>
      <c r="R69" s="592" t="s">
        <v>102</v>
      </c>
      <c r="S69" s="592" t="s">
        <v>100</v>
      </c>
      <c r="T69" s="254"/>
      <c r="U69" s="254"/>
      <c r="V69" s="254"/>
      <c r="W69" s="527" t="s">
        <v>1</v>
      </c>
      <c r="X69" s="527" t="s">
        <v>104</v>
      </c>
      <c r="Y69" s="527" t="s">
        <v>53</v>
      </c>
      <c r="Z69" s="527" t="s">
        <v>96</v>
      </c>
      <c r="AA69" s="252"/>
      <c r="AB69" s="47"/>
      <c r="AC69" s="475" t="s">
        <v>99</v>
      </c>
      <c r="AD69" s="475" t="s">
        <v>113</v>
      </c>
      <c r="AE69" s="475" t="s">
        <v>101</v>
      </c>
      <c r="AF69" s="475" t="s">
        <v>102</v>
      </c>
      <c r="AG69" s="49"/>
      <c r="AH69" s="254"/>
      <c r="AI69" s="255"/>
      <c r="AJ69" s="592" t="s">
        <v>1</v>
      </c>
      <c r="AK69" s="592" t="s">
        <v>53</v>
      </c>
      <c r="AL69" s="592" t="s">
        <v>0</v>
      </c>
      <c r="AM69" s="592" t="s">
        <v>56</v>
      </c>
      <c r="AN69" s="252"/>
      <c r="AO69" s="50"/>
      <c r="AP69" s="34"/>
      <c r="AQ69" s="38"/>
      <c r="AR69" s="38"/>
      <c r="AS69" s="34"/>
      <c r="AT69" s="256"/>
      <c r="AU69" s="252"/>
      <c r="AV69" s="252"/>
      <c r="AW69" s="46"/>
      <c r="AX69" s="253"/>
      <c r="AY69" s="253"/>
      <c r="AZ69" s="45"/>
      <c r="BA69" s="249"/>
      <c r="BB69" s="526"/>
      <c r="BC69" s="527" t="s">
        <v>99</v>
      </c>
      <c r="BD69" s="527" t="s">
        <v>113</v>
      </c>
      <c r="BE69" s="527" t="s">
        <v>100</v>
      </c>
      <c r="BF69" s="527" t="s">
        <v>102</v>
      </c>
      <c r="BG69" s="528"/>
      <c r="BH69" s="610"/>
      <c r="BI69" s="611"/>
      <c r="BJ69" s="571" t="s">
        <v>54</v>
      </c>
      <c r="BK69" s="571" t="s">
        <v>57</v>
      </c>
      <c r="BL69" s="571" t="s">
        <v>115</v>
      </c>
      <c r="BM69" s="571" t="s">
        <v>116</v>
      </c>
      <c r="BN69" s="608"/>
      <c r="BO69" s="526"/>
      <c r="BP69" s="527" t="s">
        <v>99</v>
      </c>
      <c r="BQ69" s="527" t="s">
        <v>113</v>
      </c>
      <c r="BR69" s="527" t="s">
        <v>101</v>
      </c>
      <c r="BS69" s="527" t="s">
        <v>102</v>
      </c>
      <c r="BT69" s="610"/>
      <c r="BU69" s="610"/>
      <c r="BV69" s="610"/>
      <c r="BW69" s="571" t="s">
        <v>148</v>
      </c>
      <c r="BX69" s="571" t="s">
        <v>107</v>
      </c>
      <c r="BY69" s="571" t="s">
        <v>55</v>
      </c>
      <c r="BZ69" s="571" t="s">
        <v>108</v>
      </c>
      <c r="CA69" s="608"/>
      <c r="CB69" s="526"/>
      <c r="CC69" s="527" t="s">
        <v>100</v>
      </c>
      <c r="CD69" s="527" t="s">
        <v>147</v>
      </c>
      <c r="CE69" s="527" t="s">
        <v>99</v>
      </c>
      <c r="CF69" s="527" t="s">
        <v>102</v>
      </c>
      <c r="CG69" s="528"/>
      <c r="CH69" s="610"/>
      <c r="CI69" s="611"/>
      <c r="CJ69" s="571" t="s">
        <v>150</v>
      </c>
      <c r="CK69" s="571" t="s">
        <v>109</v>
      </c>
      <c r="CL69" s="571" t="s">
        <v>111</v>
      </c>
      <c r="CM69" s="571" t="s">
        <v>151</v>
      </c>
      <c r="CN69" s="605"/>
    </row>
    <row r="70" spans="1:92" ht="15">
      <c r="A70" s="1537"/>
      <c r="B70" s="51">
        <v>1</v>
      </c>
      <c r="C70" s="52">
        <v>12</v>
      </c>
      <c r="D70" s="53"/>
      <c r="E70" s="53"/>
      <c r="F70" s="173"/>
      <c r="G70" s="257">
        <f>SUM(C$70:F70)</f>
        <v>12</v>
      </c>
      <c r="H70" s="258">
        <f t="shared" ref="H70:H76" si="19">G70-I70</f>
        <v>4</v>
      </c>
      <c r="I70" s="259">
        <f>SUM(J$70:M70)</f>
        <v>8</v>
      </c>
      <c r="J70" s="52">
        <v>8</v>
      </c>
      <c r="K70" s="53"/>
      <c r="L70" s="53"/>
      <c r="M70" s="173"/>
      <c r="N70" s="248"/>
      <c r="O70" s="51">
        <v>1</v>
      </c>
      <c r="P70" s="52">
        <v>4</v>
      </c>
      <c r="Q70" s="53"/>
      <c r="R70" s="53"/>
      <c r="S70" s="53"/>
      <c r="T70" s="257">
        <f>SUM(P$70:S70)</f>
        <v>4</v>
      </c>
      <c r="U70" s="258">
        <f t="shared" ref="U70:U77" si="20">T70-V70</f>
        <v>-8</v>
      </c>
      <c r="V70" s="259">
        <f>SUM(W$70:Z70)</f>
        <v>12</v>
      </c>
      <c r="W70" s="52">
        <v>12</v>
      </c>
      <c r="X70" s="53"/>
      <c r="Y70" s="53"/>
      <c r="Z70" s="53"/>
      <c r="AA70" s="248"/>
      <c r="AB70" s="51">
        <v>1</v>
      </c>
      <c r="AC70" s="531">
        <v>11</v>
      </c>
      <c r="AD70" s="532"/>
      <c r="AE70" s="532"/>
      <c r="AF70" s="563"/>
      <c r="AG70" s="257">
        <f>SUM(AC$70:AF70)</f>
        <v>11</v>
      </c>
      <c r="AH70" s="258">
        <f t="shared" ref="AH70:AH75" si="21">AG70-AI70</f>
        <v>-1</v>
      </c>
      <c r="AI70" s="259">
        <f>SUM(AJ$70:AM70)</f>
        <v>12</v>
      </c>
      <c r="AJ70" s="574">
        <v>12</v>
      </c>
      <c r="AK70" s="532"/>
      <c r="AL70" s="532"/>
      <c r="AM70" s="563"/>
      <c r="AN70" s="248"/>
      <c r="AO70" s="50"/>
      <c r="AP70" s="38"/>
      <c r="AQ70" s="34"/>
      <c r="AR70" s="34"/>
      <c r="AS70" s="34"/>
      <c r="AT70" s="256"/>
      <c r="AU70" s="248"/>
      <c r="AV70" s="256"/>
      <c r="AW70" s="38"/>
      <c r="AX70" s="34"/>
      <c r="AY70" s="34"/>
      <c r="AZ70" s="34"/>
      <c r="BA70" s="249"/>
      <c r="BB70" s="530">
        <v>1</v>
      </c>
      <c r="BC70" s="531">
        <v>12</v>
      </c>
      <c r="BD70" s="532"/>
      <c r="BE70" s="532"/>
      <c r="BF70" s="600"/>
      <c r="BG70" s="613">
        <f>SUM(BC$70:BF70)</f>
        <v>12</v>
      </c>
      <c r="BH70" s="614">
        <f t="shared" ref="BH70:BH75" si="22">BG70-BI70</f>
        <v>8</v>
      </c>
      <c r="BI70" s="615">
        <f>SUM(BJ$70:BM70)</f>
        <v>4</v>
      </c>
      <c r="BJ70" s="531">
        <v>4</v>
      </c>
      <c r="BK70" s="532"/>
      <c r="BL70" s="532"/>
      <c r="BM70" s="600"/>
      <c r="BN70" s="604"/>
      <c r="BO70" s="530">
        <v>1</v>
      </c>
      <c r="BP70" s="531">
        <v>6</v>
      </c>
      <c r="BQ70" s="532"/>
      <c r="BR70" s="532"/>
      <c r="BS70" s="532"/>
      <c r="BT70" s="613">
        <f>SUM(BP$70:BS70)</f>
        <v>6</v>
      </c>
      <c r="BU70" s="614">
        <f t="shared" ref="BU70:BU77" si="23">BT70-BV70</f>
        <v>-4</v>
      </c>
      <c r="BV70" s="615">
        <f>SUM(BW$70:BZ70)</f>
        <v>10</v>
      </c>
      <c r="BW70" s="531">
        <v>10</v>
      </c>
      <c r="BX70" s="532"/>
      <c r="BY70" s="532"/>
      <c r="BZ70" s="532"/>
      <c r="CA70" s="604"/>
      <c r="CB70" s="530">
        <v>1</v>
      </c>
      <c r="CC70" s="531">
        <v>6</v>
      </c>
      <c r="CD70" s="532"/>
      <c r="CE70" s="532"/>
      <c r="CF70" s="532"/>
      <c r="CG70" s="613">
        <f>SUM(CC$70:CF70)</f>
        <v>6</v>
      </c>
      <c r="CH70" s="614">
        <f t="shared" ref="CH70:CH77" si="24">CG70-CI70</f>
        <v>4</v>
      </c>
      <c r="CI70" s="615">
        <f>SUM(CJ$70:CM70)</f>
        <v>2</v>
      </c>
      <c r="CJ70" s="531">
        <v>2</v>
      </c>
      <c r="CK70" s="532"/>
      <c r="CL70" s="532"/>
      <c r="CM70" s="532"/>
      <c r="CN70" s="605"/>
    </row>
    <row r="71" spans="1:92" ht="15">
      <c r="A71" s="1537"/>
      <c r="B71" s="56">
        <v>2</v>
      </c>
      <c r="C71" s="53"/>
      <c r="D71" s="52">
        <v>2</v>
      </c>
      <c r="E71" s="53"/>
      <c r="F71" s="53"/>
      <c r="G71" s="257">
        <f>SUM(C$70:F71)</f>
        <v>14</v>
      </c>
      <c r="H71" s="258">
        <f t="shared" si="19"/>
        <v>-3</v>
      </c>
      <c r="I71" s="259">
        <f>SUM(J$70:M71)</f>
        <v>17</v>
      </c>
      <c r="J71" s="53"/>
      <c r="K71" s="52">
        <v>9</v>
      </c>
      <c r="L71" s="53"/>
      <c r="M71" s="53"/>
      <c r="N71" s="248"/>
      <c r="O71" s="56">
        <v>2</v>
      </c>
      <c r="P71" s="53"/>
      <c r="Q71" s="52">
        <v>7</v>
      </c>
      <c r="R71" s="53"/>
      <c r="S71" s="53"/>
      <c r="T71" s="257">
        <f>SUM(P$70:S71)</f>
        <v>11</v>
      </c>
      <c r="U71" s="258">
        <f t="shared" si="20"/>
        <v>-8</v>
      </c>
      <c r="V71" s="259">
        <f>SUM(W$70:Z71)</f>
        <v>19</v>
      </c>
      <c r="W71" s="53"/>
      <c r="X71" s="52">
        <v>7</v>
      </c>
      <c r="Y71" s="52"/>
      <c r="Z71" s="53"/>
      <c r="AA71" s="248"/>
      <c r="AB71" s="56">
        <v>2</v>
      </c>
      <c r="AC71" s="532"/>
      <c r="AD71" s="531">
        <v>8</v>
      </c>
      <c r="AE71" s="532"/>
      <c r="AF71" s="532"/>
      <c r="AG71" s="257">
        <f>SUM(AC$70:AF71)</f>
        <v>19</v>
      </c>
      <c r="AH71" s="258">
        <f t="shared" si="21"/>
        <v>-2</v>
      </c>
      <c r="AI71" s="259">
        <f>SUM(AJ$70:AM71)</f>
        <v>21</v>
      </c>
      <c r="AJ71" s="575"/>
      <c r="AK71" s="531">
        <v>9</v>
      </c>
      <c r="AL71" s="532"/>
      <c r="AM71" s="532"/>
      <c r="AN71" s="248"/>
      <c r="AO71" s="50"/>
      <c r="AP71" s="34"/>
      <c r="AQ71" s="38"/>
      <c r="AR71" s="38"/>
      <c r="AS71" s="34"/>
      <c r="AT71" s="256"/>
      <c r="AU71" s="248"/>
      <c r="AV71" s="256"/>
      <c r="AW71" s="34"/>
      <c r="AX71" s="38"/>
      <c r="AY71" s="38"/>
      <c r="AZ71" s="34"/>
      <c r="BA71" s="249"/>
      <c r="BB71" s="533">
        <v>2</v>
      </c>
      <c r="BC71" s="532"/>
      <c r="BD71" s="531">
        <v>2</v>
      </c>
      <c r="BE71" s="532"/>
      <c r="BF71" s="532"/>
      <c r="BG71" s="613">
        <f>SUM(BC$70:BF71)</f>
        <v>14</v>
      </c>
      <c r="BH71" s="614">
        <f t="shared" si="22"/>
        <v>-1</v>
      </c>
      <c r="BI71" s="615">
        <f>SUM(BJ$70:BM71)</f>
        <v>15</v>
      </c>
      <c r="BJ71" s="532"/>
      <c r="BK71" s="531">
        <v>11</v>
      </c>
      <c r="BL71" s="532"/>
      <c r="BM71" s="532"/>
      <c r="BN71" s="604"/>
      <c r="BO71" s="533">
        <v>2</v>
      </c>
      <c r="BP71" s="532"/>
      <c r="BQ71" s="531">
        <v>10</v>
      </c>
      <c r="BR71" s="532"/>
      <c r="BS71" s="532"/>
      <c r="BT71" s="613">
        <f>SUM(BP$70:BS71)</f>
        <v>16</v>
      </c>
      <c r="BU71" s="614">
        <f t="shared" si="23"/>
        <v>1</v>
      </c>
      <c r="BV71" s="615">
        <f>SUM(BW$70:BZ71)</f>
        <v>15</v>
      </c>
      <c r="BW71" s="532"/>
      <c r="BX71" s="531">
        <v>5</v>
      </c>
      <c r="BY71" s="531"/>
      <c r="BZ71" s="532"/>
      <c r="CA71" s="604"/>
      <c r="CB71" s="533">
        <v>2</v>
      </c>
      <c r="CC71" s="532"/>
      <c r="CD71" s="531">
        <v>10</v>
      </c>
      <c r="CE71" s="531"/>
      <c r="CF71" s="532"/>
      <c r="CG71" s="613">
        <f>SUM(CC$70:CF71)</f>
        <v>16</v>
      </c>
      <c r="CH71" s="614">
        <f t="shared" si="24"/>
        <v>11</v>
      </c>
      <c r="CI71" s="615">
        <f>SUM(CJ$70:CM71)</f>
        <v>5</v>
      </c>
      <c r="CJ71" s="532"/>
      <c r="CK71" s="531">
        <v>3</v>
      </c>
      <c r="CL71" s="531"/>
      <c r="CM71" s="532"/>
      <c r="CN71" s="605"/>
    </row>
    <row r="72" spans="1:92" ht="15">
      <c r="A72" s="1537"/>
      <c r="B72" s="56">
        <v>3</v>
      </c>
      <c r="C72" s="52"/>
      <c r="D72" s="53"/>
      <c r="E72" s="53" t="s">
        <v>2</v>
      </c>
      <c r="F72" s="173"/>
      <c r="G72" s="257">
        <f>SUM(C$70:F72)</f>
        <v>14</v>
      </c>
      <c r="H72" s="258">
        <f t="shared" si="19"/>
        <v>-14</v>
      </c>
      <c r="I72" s="259">
        <f>SUM(J$70:M72)</f>
        <v>28</v>
      </c>
      <c r="J72" s="52"/>
      <c r="K72" s="53"/>
      <c r="L72" s="53">
        <v>11</v>
      </c>
      <c r="M72" s="173"/>
      <c r="N72" s="248"/>
      <c r="O72" s="56">
        <v>3</v>
      </c>
      <c r="P72" s="52"/>
      <c r="Q72" s="53"/>
      <c r="R72" s="53">
        <v>7</v>
      </c>
      <c r="S72" s="53"/>
      <c r="T72" s="257">
        <f>SUM(P$70:S72)</f>
        <v>18</v>
      </c>
      <c r="U72" s="258">
        <f t="shared" si="20"/>
        <v>-4</v>
      </c>
      <c r="V72" s="259">
        <f>SUM(W$70:Z72)</f>
        <v>22</v>
      </c>
      <c r="W72" s="52"/>
      <c r="X72" s="53"/>
      <c r="Y72" s="53">
        <v>3</v>
      </c>
      <c r="Z72" s="53"/>
      <c r="AA72" s="248"/>
      <c r="AB72" s="56">
        <v>3</v>
      </c>
      <c r="AC72" s="531"/>
      <c r="AD72" s="532"/>
      <c r="AE72" s="532">
        <v>9</v>
      </c>
      <c r="AF72" s="563"/>
      <c r="AG72" s="257">
        <f>SUM(AC$70:AF72)</f>
        <v>28</v>
      </c>
      <c r="AH72" s="258">
        <f t="shared" si="21"/>
        <v>7</v>
      </c>
      <c r="AI72" s="259">
        <f>SUM(AJ$70:AM72)</f>
        <v>21</v>
      </c>
      <c r="AJ72" s="574"/>
      <c r="AK72" s="532"/>
      <c r="AL72" s="532" t="s">
        <v>2</v>
      </c>
      <c r="AM72" s="563"/>
      <c r="AN72" s="248"/>
      <c r="AO72" s="50"/>
      <c r="AP72" s="38"/>
      <c r="AQ72" s="34"/>
      <c r="AR72" s="34"/>
      <c r="AS72" s="34"/>
      <c r="AT72" s="256"/>
      <c r="AU72" s="248"/>
      <c r="AV72" s="256"/>
      <c r="AW72" s="38"/>
      <c r="AX72" s="34"/>
      <c r="AY72" s="34"/>
      <c r="AZ72" s="34"/>
      <c r="BA72" s="249"/>
      <c r="BB72" s="533">
        <v>3</v>
      </c>
      <c r="BC72" s="531"/>
      <c r="BD72" s="532"/>
      <c r="BE72" s="532">
        <v>11</v>
      </c>
      <c r="BF72" s="600"/>
      <c r="BG72" s="613">
        <f>SUM(BC$70:BF72)</f>
        <v>25</v>
      </c>
      <c r="BH72" s="614">
        <f t="shared" si="22"/>
        <v>2</v>
      </c>
      <c r="BI72" s="615">
        <f>SUM(BJ$70:BM72)</f>
        <v>23</v>
      </c>
      <c r="BJ72" s="531"/>
      <c r="BK72" s="532"/>
      <c r="BL72" s="532">
        <v>8</v>
      </c>
      <c r="BM72" s="600"/>
      <c r="BN72" s="604"/>
      <c r="BO72" s="533">
        <v>3</v>
      </c>
      <c r="BP72" s="531"/>
      <c r="BQ72" s="532"/>
      <c r="BR72" s="532">
        <v>3</v>
      </c>
      <c r="BS72" s="532"/>
      <c r="BT72" s="613">
        <f>SUM(BP$70:BS72)</f>
        <v>19</v>
      </c>
      <c r="BU72" s="614">
        <f t="shared" si="23"/>
        <v>-6</v>
      </c>
      <c r="BV72" s="615">
        <f>SUM(BW$70:BZ72)</f>
        <v>25</v>
      </c>
      <c r="BW72" s="531"/>
      <c r="BX72" s="532"/>
      <c r="BY72" s="532">
        <v>10</v>
      </c>
      <c r="BZ72" s="532"/>
      <c r="CA72" s="604"/>
      <c r="CB72" s="533">
        <v>3</v>
      </c>
      <c r="CC72" s="531"/>
      <c r="CD72" s="532"/>
      <c r="CE72" s="532">
        <v>11</v>
      </c>
      <c r="CF72" s="532"/>
      <c r="CG72" s="613">
        <f>SUM(CC$70:CF72)</f>
        <v>27</v>
      </c>
      <c r="CH72" s="614">
        <f t="shared" si="24"/>
        <v>22</v>
      </c>
      <c r="CI72" s="615">
        <f>SUM(CJ$70:CM72)</f>
        <v>5</v>
      </c>
      <c r="CJ72" s="531"/>
      <c r="CK72" s="532"/>
      <c r="CL72" s="532" t="s">
        <v>2</v>
      </c>
      <c r="CM72" s="532"/>
      <c r="CN72" s="605"/>
    </row>
    <row r="73" spans="1:92" ht="15">
      <c r="A73" s="1537"/>
      <c r="B73" s="51">
        <v>4</v>
      </c>
      <c r="C73" s="53"/>
      <c r="D73" s="52"/>
      <c r="E73" s="53"/>
      <c r="F73" s="53">
        <v>9</v>
      </c>
      <c r="G73" s="257">
        <f>SUM(C$70:F73)</f>
        <v>23</v>
      </c>
      <c r="H73" s="258">
        <f t="shared" si="19"/>
        <v>-13</v>
      </c>
      <c r="I73" s="259">
        <f>SUM(J$70:M73)</f>
        <v>36</v>
      </c>
      <c r="J73" s="53"/>
      <c r="K73" s="52"/>
      <c r="L73" s="53"/>
      <c r="M73" s="53">
        <v>8</v>
      </c>
      <c r="N73" s="248"/>
      <c r="O73" s="56">
        <v>4</v>
      </c>
      <c r="P73" s="53"/>
      <c r="Q73" s="52"/>
      <c r="R73" s="53"/>
      <c r="S73" s="53" t="s">
        <v>2</v>
      </c>
      <c r="T73" s="257">
        <f>SUM(P$70:S73)</f>
        <v>18</v>
      </c>
      <c r="U73" s="258">
        <f t="shared" si="20"/>
        <v>-11</v>
      </c>
      <c r="V73" s="259">
        <f>SUM(W$70:Z73)</f>
        <v>29</v>
      </c>
      <c r="W73" s="53"/>
      <c r="X73" s="52"/>
      <c r="Y73" s="52"/>
      <c r="Z73" s="532">
        <v>7</v>
      </c>
      <c r="AA73" s="248"/>
      <c r="AB73" s="51">
        <v>4</v>
      </c>
      <c r="AC73" s="532"/>
      <c r="AD73" s="531"/>
      <c r="AE73" s="532"/>
      <c r="AF73" s="532">
        <v>12</v>
      </c>
      <c r="AG73" s="257">
        <f>SUM(AC$70:AF73)</f>
        <v>40</v>
      </c>
      <c r="AH73" s="258">
        <f t="shared" si="21"/>
        <v>17</v>
      </c>
      <c r="AI73" s="259">
        <f>SUM(AJ$70:AM73)</f>
        <v>23</v>
      </c>
      <c r="AJ73" s="575"/>
      <c r="AK73" s="531"/>
      <c r="AL73" s="532"/>
      <c r="AM73" s="532">
        <v>2</v>
      </c>
      <c r="AN73" s="248"/>
      <c r="AO73" s="50"/>
      <c r="AP73" s="34"/>
      <c r="AQ73" s="38"/>
      <c r="AR73" s="38"/>
      <c r="AS73" s="34"/>
      <c r="AT73" s="256"/>
      <c r="AU73" s="248"/>
      <c r="AV73" s="256"/>
      <c r="AW73" s="34"/>
      <c r="AX73" s="38"/>
      <c r="AY73" s="38"/>
      <c r="AZ73" s="34"/>
      <c r="BA73" s="249"/>
      <c r="BB73" s="530">
        <v>4</v>
      </c>
      <c r="BC73" s="532"/>
      <c r="BD73" s="531"/>
      <c r="BE73" s="532"/>
      <c r="BF73" s="532">
        <v>9</v>
      </c>
      <c r="BG73" s="613">
        <f>SUM(BC$70:BF73)</f>
        <v>34</v>
      </c>
      <c r="BH73" s="614">
        <f t="shared" si="22"/>
        <v>-1</v>
      </c>
      <c r="BI73" s="615">
        <f>SUM(BJ$70:BM73)</f>
        <v>35</v>
      </c>
      <c r="BJ73" s="532"/>
      <c r="BK73" s="531"/>
      <c r="BL73" s="532"/>
      <c r="BM73" s="532">
        <v>12</v>
      </c>
      <c r="BN73" s="604"/>
      <c r="BO73" s="533">
        <v>4</v>
      </c>
      <c r="BP73" s="532"/>
      <c r="BQ73" s="531"/>
      <c r="BR73" s="532"/>
      <c r="BS73" s="532">
        <v>7</v>
      </c>
      <c r="BT73" s="613">
        <f>SUM(BP$70:BS73)</f>
        <v>26</v>
      </c>
      <c r="BU73" s="614">
        <f t="shared" si="23"/>
        <v>-7</v>
      </c>
      <c r="BV73" s="615">
        <f>SUM(BW$70:BZ73)</f>
        <v>33</v>
      </c>
      <c r="BW73" s="532"/>
      <c r="BX73" s="531"/>
      <c r="BY73" s="531"/>
      <c r="BZ73" s="532">
        <v>8</v>
      </c>
      <c r="CA73" s="604"/>
      <c r="CB73" s="530">
        <v>4</v>
      </c>
      <c r="CC73" s="532"/>
      <c r="CD73" s="531"/>
      <c r="CE73" s="531"/>
      <c r="CF73" s="532">
        <v>9</v>
      </c>
      <c r="CG73" s="613">
        <f>SUM(CC$70:CF73)</f>
        <v>36</v>
      </c>
      <c r="CH73" s="614">
        <f t="shared" si="24"/>
        <v>31</v>
      </c>
      <c r="CI73" s="615">
        <f>SUM(CJ$70:CM73)</f>
        <v>5</v>
      </c>
      <c r="CJ73" s="532"/>
      <c r="CK73" s="531"/>
      <c r="CL73" s="531"/>
      <c r="CM73" s="532" t="s">
        <v>2</v>
      </c>
      <c r="CN73" s="605"/>
    </row>
    <row r="74" spans="1:92" ht="15">
      <c r="A74" s="1537"/>
      <c r="B74" s="56">
        <v>5</v>
      </c>
      <c r="C74" s="52">
        <v>9</v>
      </c>
      <c r="D74" s="53"/>
      <c r="E74" s="53"/>
      <c r="F74" s="173"/>
      <c r="G74" s="257">
        <f>SUM(C$70:F74)</f>
        <v>32</v>
      </c>
      <c r="H74" s="258">
        <f t="shared" si="19"/>
        <v>-11</v>
      </c>
      <c r="I74" s="259">
        <f>SUM(J$70:M74)</f>
        <v>43</v>
      </c>
      <c r="J74" s="52">
        <v>7</v>
      </c>
      <c r="K74" s="53"/>
      <c r="L74" s="53"/>
      <c r="M74" s="173"/>
      <c r="N74" s="248"/>
      <c r="O74" s="530">
        <v>5</v>
      </c>
      <c r="P74" s="531" t="s">
        <v>2</v>
      </c>
      <c r="Q74" s="532"/>
      <c r="R74" s="532"/>
      <c r="S74" s="532"/>
      <c r="T74" s="613">
        <f>SUM(P$70:S74)</f>
        <v>18</v>
      </c>
      <c r="U74" s="614">
        <f t="shared" si="20"/>
        <v>-15</v>
      </c>
      <c r="V74" s="615">
        <f>SUM(W$70:Z74)</f>
        <v>33</v>
      </c>
      <c r="W74" s="531">
        <v>4</v>
      </c>
      <c r="X74" s="532"/>
      <c r="Y74" s="532"/>
      <c r="Z74" s="532"/>
      <c r="AA74" s="248"/>
      <c r="AB74" s="56">
        <v>5</v>
      </c>
      <c r="AC74" s="531">
        <v>2</v>
      </c>
      <c r="AD74" s="532"/>
      <c r="AE74" s="532"/>
      <c r="AF74" s="563"/>
      <c r="AG74" s="257">
        <f>SUM(AC$70:AF74)</f>
        <v>42</v>
      </c>
      <c r="AH74" s="258">
        <f t="shared" si="21"/>
        <v>11</v>
      </c>
      <c r="AI74" s="259">
        <f>SUM(AJ$70:AM74)</f>
        <v>31</v>
      </c>
      <c r="AJ74" s="574">
        <v>8</v>
      </c>
      <c r="AK74" s="532"/>
      <c r="AL74" s="532"/>
      <c r="AM74" s="563"/>
      <c r="AN74" s="248"/>
      <c r="AO74" s="50"/>
      <c r="AP74" s="38"/>
      <c r="AQ74" s="34"/>
      <c r="AR74" s="34"/>
      <c r="AS74" s="34"/>
      <c r="AT74" s="256"/>
      <c r="AU74" s="248"/>
      <c r="AV74" s="256"/>
      <c r="AW74" s="38"/>
      <c r="AX74" s="34"/>
      <c r="AY74" s="34"/>
      <c r="AZ74" s="34"/>
      <c r="BA74" s="249"/>
      <c r="BB74" s="530">
        <v>5</v>
      </c>
      <c r="BC74" s="531">
        <v>11</v>
      </c>
      <c r="BD74" s="532"/>
      <c r="BE74" s="532"/>
      <c r="BF74" s="600"/>
      <c r="BG74" s="613">
        <f>SUM(BC$70:BF74)</f>
        <v>45</v>
      </c>
      <c r="BH74" s="614">
        <f t="shared" si="22"/>
        <v>5</v>
      </c>
      <c r="BI74" s="615">
        <f>SUM(BJ$70:BM74)</f>
        <v>40</v>
      </c>
      <c r="BJ74" s="531">
        <v>5</v>
      </c>
      <c r="BK74" s="532"/>
      <c r="BL74" s="532"/>
      <c r="BM74" s="600"/>
      <c r="BN74" s="604"/>
      <c r="BO74" s="530">
        <v>5</v>
      </c>
      <c r="BP74" s="531">
        <v>12</v>
      </c>
      <c r="BQ74" s="532"/>
      <c r="BR74" s="532"/>
      <c r="BS74" s="532"/>
      <c r="BT74" s="613">
        <f>SUM(BP$70:BS74)</f>
        <v>38</v>
      </c>
      <c r="BU74" s="614">
        <f t="shared" si="23"/>
        <v>5</v>
      </c>
      <c r="BV74" s="615">
        <f>SUM(BW$70:BZ74)</f>
        <v>33</v>
      </c>
      <c r="BW74" s="531" t="s">
        <v>2</v>
      </c>
      <c r="BX74" s="532"/>
      <c r="BY74" s="532"/>
      <c r="BZ74" s="532"/>
      <c r="CA74" s="604"/>
      <c r="CB74" s="533">
        <v>5</v>
      </c>
      <c r="CC74" s="531" t="s">
        <v>2</v>
      </c>
      <c r="CD74" s="532"/>
      <c r="CE74" s="532"/>
      <c r="CF74" s="532"/>
      <c r="CG74" s="613">
        <f>SUM(CC$70:CF74)</f>
        <v>36</v>
      </c>
      <c r="CH74" s="614">
        <f t="shared" si="24"/>
        <v>27</v>
      </c>
      <c r="CI74" s="615">
        <f>SUM(CJ$70:CM74)</f>
        <v>9</v>
      </c>
      <c r="CJ74" s="653">
        <v>4</v>
      </c>
      <c r="CK74" s="532"/>
      <c r="CL74" s="532"/>
      <c r="CM74" s="532"/>
      <c r="CN74" s="605"/>
    </row>
    <row r="75" spans="1:92" ht="15">
      <c r="A75" s="1537"/>
      <c r="B75" s="56">
        <v>6</v>
      </c>
      <c r="C75" s="53"/>
      <c r="D75" s="52">
        <v>7</v>
      </c>
      <c r="E75" s="53"/>
      <c r="F75" s="53"/>
      <c r="G75" s="257">
        <f>SUM(C$70:F75)</f>
        <v>39</v>
      </c>
      <c r="H75" s="258">
        <f t="shared" si="19"/>
        <v>-9</v>
      </c>
      <c r="I75" s="259">
        <f>SUM(J$70:M75)</f>
        <v>48</v>
      </c>
      <c r="J75" s="53"/>
      <c r="K75" s="532">
        <v>5</v>
      </c>
      <c r="L75" s="53"/>
      <c r="M75" s="53"/>
      <c r="N75" s="248"/>
      <c r="O75" s="533">
        <v>6</v>
      </c>
      <c r="P75" s="532"/>
      <c r="Q75" s="531">
        <v>4</v>
      </c>
      <c r="R75" s="532"/>
      <c r="S75" s="532"/>
      <c r="T75" s="613">
        <f>SUM(P$70:S75)</f>
        <v>22</v>
      </c>
      <c r="U75" s="614">
        <f t="shared" si="20"/>
        <v>-21</v>
      </c>
      <c r="V75" s="615">
        <f>SUM(W$70:Z75)</f>
        <v>43</v>
      </c>
      <c r="W75" s="532"/>
      <c r="X75" s="531">
        <v>10</v>
      </c>
      <c r="Y75" s="531"/>
      <c r="Z75" s="532"/>
      <c r="AA75" s="248"/>
      <c r="AB75" s="56">
        <v>6</v>
      </c>
      <c r="AC75" s="532"/>
      <c r="AD75" s="565">
        <v>8</v>
      </c>
      <c r="AE75" s="532"/>
      <c r="AF75" s="532"/>
      <c r="AG75" s="257">
        <f>SUM(AC$70:AF75)</f>
        <v>50</v>
      </c>
      <c r="AH75" s="258">
        <f t="shared" si="21"/>
        <v>19</v>
      </c>
      <c r="AI75" s="259">
        <f>SUM(AJ$70:AM75)</f>
        <v>31</v>
      </c>
      <c r="AJ75" s="53"/>
      <c r="AK75" s="52"/>
      <c r="AL75" s="52"/>
      <c r="AM75" s="53"/>
      <c r="AN75" s="248"/>
      <c r="AO75" s="50"/>
      <c r="AP75" s="34"/>
      <c r="AQ75" s="38"/>
      <c r="AR75" s="38"/>
      <c r="AS75" s="34"/>
      <c r="AT75" s="256"/>
      <c r="AU75" s="248"/>
      <c r="AV75" s="256"/>
      <c r="AW75" s="34"/>
      <c r="AX75" s="38"/>
      <c r="AY75" s="38"/>
      <c r="AZ75" s="34"/>
      <c r="BA75" s="249"/>
      <c r="BB75" s="533">
        <v>6</v>
      </c>
      <c r="BC75" s="532"/>
      <c r="BD75" s="1427">
        <v>5</v>
      </c>
      <c r="BE75" s="532"/>
      <c r="BF75" s="532"/>
      <c r="BG75" s="613">
        <f>SUM(BC$70:BF75)</f>
        <v>50</v>
      </c>
      <c r="BH75" s="614">
        <f t="shared" si="22"/>
        <v>10</v>
      </c>
      <c r="BI75" s="615">
        <f>SUM(BJ$70:BM75)</f>
        <v>40</v>
      </c>
      <c r="BJ75" s="532"/>
      <c r="BK75" s="531"/>
      <c r="BL75" s="532"/>
      <c r="BM75" s="532"/>
      <c r="BN75" s="604"/>
      <c r="BO75" s="533">
        <v>6</v>
      </c>
      <c r="BP75" s="532"/>
      <c r="BQ75" s="531">
        <v>2</v>
      </c>
      <c r="BR75" s="532"/>
      <c r="BS75" s="532"/>
      <c r="BT75" s="613">
        <f>SUM(BP$70:BS75)</f>
        <v>40</v>
      </c>
      <c r="BU75" s="614">
        <f t="shared" si="23"/>
        <v>5</v>
      </c>
      <c r="BV75" s="615">
        <f>SUM(BW$70:BZ75)</f>
        <v>35</v>
      </c>
      <c r="BW75" s="532"/>
      <c r="BX75" s="531">
        <v>2</v>
      </c>
      <c r="BY75" s="531"/>
      <c r="BZ75" s="532"/>
      <c r="CA75" s="604"/>
      <c r="CB75" s="533">
        <v>6</v>
      </c>
      <c r="CC75" s="532"/>
      <c r="CD75" s="531">
        <v>2</v>
      </c>
      <c r="CE75" s="531"/>
      <c r="CF75" s="532"/>
      <c r="CG75" s="613">
        <f>SUM(CC$70:CF75)</f>
        <v>38</v>
      </c>
      <c r="CH75" s="614">
        <f t="shared" si="24"/>
        <v>19</v>
      </c>
      <c r="CI75" s="615">
        <f>SUM(CJ$70:CM75)</f>
        <v>19</v>
      </c>
      <c r="CJ75" s="532"/>
      <c r="CK75" s="531">
        <v>10</v>
      </c>
      <c r="CL75" s="531"/>
      <c r="CM75" s="532"/>
      <c r="CN75" s="605"/>
    </row>
    <row r="76" spans="1:92" ht="15">
      <c r="A76" s="1537"/>
      <c r="B76" s="530">
        <v>7</v>
      </c>
      <c r="C76" s="531"/>
      <c r="D76" s="532"/>
      <c r="E76" s="532" t="s">
        <v>2</v>
      </c>
      <c r="F76" s="600"/>
      <c r="G76" s="613">
        <f>SUM(C$70:F76)</f>
        <v>39</v>
      </c>
      <c r="H76" s="614">
        <f t="shared" si="19"/>
        <v>-11</v>
      </c>
      <c r="I76" s="615">
        <f>SUM(J$70:M76)</f>
        <v>50</v>
      </c>
      <c r="J76" s="531"/>
      <c r="K76" s="532"/>
      <c r="L76" s="565">
        <v>2</v>
      </c>
      <c r="M76" s="600"/>
      <c r="N76" s="248"/>
      <c r="O76" s="533">
        <v>7</v>
      </c>
      <c r="P76" s="531"/>
      <c r="Q76" s="532"/>
      <c r="R76" s="532">
        <v>2</v>
      </c>
      <c r="S76" s="532"/>
      <c r="T76" s="613">
        <f>SUM(P$70:S76)</f>
        <v>24</v>
      </c>
      <c r="U76" s="614">
        <f t="shared" si="20"/>
        <v>-19</v>
      </c>
      <c r="V76" s="615">
        <f>SUM(W$70:Z76)</f>
        <v>43</v>
      </c>
      <c r="W76" s="531"/>
      <c r="X76" s="532"/>
      <c r="Y76" s="532" t="s">
        <v>2</v>
      </c>
      <c r="Z76" s="532"/>
      <c r="AA76" s="248"/>
      <c r="AB76" s="522"/>
      <c r="AC76" s="534"/>
      <c r="AD76" s="616"/>
      <c r="AE76" s="616"/>
      <c r="AF76" s="534"/>
      <c r="AG76" s="616"/>
      <c r="AH76" s="607"/>
      <c r="AI76" s="607"/>
      <c r="AJ76" s="534"/>
      <c r="AK76" s="616"/>
      <c r="AL76" s="616"/>
      <c r="AM76" s="534"/>
      <c r="AN76" s="248"/>
      <c r="AO76" s="50"/>
      <c r="AP76" s="38"/>
      <c r="AQ76" s="34"/>
      <c r="AR76" s="34"/>
      <c r="AS76" s="34"/>
      <c r="AT76" s="256"/>
      <c r="AU76" s="248"/>
      <c r="AV76" s="256"/>
      <c r="AW76" s="38"/>
      <c r="AX76" s="34"/>
      <c r="AY76" s="34"/>
      <c r="AZ76" s="34"/>
      <c r="BA76" s="249"/>
      <c r="BB76" s="522"/>
      <c r="BC76" s="534"/>
      <c r="BD76" s="616"/>
      <c r="BE76" s="616"/>
      <c r="BF76" s="534"/>
      <c r="BG76" s="616"/>
      <c r="BH76" s="607"/>
      <c r="BI76" s="607"/>
      <c r="BJ76" s="534"/>
      <c r="BK76" s="616"/>
      <c r="BL76" s="616"/>
      <c r="BM76" s="534"/>
      <c r="BN76" s="604"/>
      <c r="BO76" s="533">
        <v>7</v>
      </c>
      <c r="BP76" s="531"/>
      <c r="BQ76" s="532"/>
      <c r="BR76" s="532">
        <v>2</v>
      </c>
      <c r="BS76" s="532"/>
      <c r="BT76" s="613">
        <f>SUM(BP$70:BS76)</f>
        <v>42</v>
      </c>
      <c r="BU76" s="614">
        <f t="shared" si="23"/>
        <v>5</v>
      </c>
      <c r="BV76" s="615">
        <f>SUM(BW$70:BZ76)</f>
        <v>37</v>
      </c>
      <c r="BW76" s="531"/>
      <c r="BX76" s="532"/>
      <c r="BY76" s="532">
        <v>2</v>
      </c>
      <c r="BZ76" s="532"/>
      <c r="CA76" s="604"/>
      <c r="CB76" s="530">
        <v>7</v>
      </c>
      <c r="CC76" s="531"/>
      <c r="CD76" s="532"/>
      <c r="CE76" s="532">
        <v>6</v>
      </c>
      <c r="CF76" s="532"/>
      <c r="CG76" s="613">
        <f>SUM(CC$70:CF76)</f>
        <v>44</v>
      </c>
      <c r="CH76" s="614">
        <f t="shared" si="24"/>
        <v>15</v>
      </c>
      <c r="CI76" s="615">
        <f>SUM(CJ$70:CM76)</f>
        <v>29</v>
      </c>
      <c r="CJ76" s="531"/>
      <c r="CK76" s="532"/>
      <c r="CL76" s="532">
        <v>10</v>
      </c>
      <c r="CM76" s="532"/>
      <c r="CN76" s="605"/>
    </row>
    <row r="77" spans="1:92" ht="15">
      <c r="A77" s="1537"/>
      <c r="B77" s="522"/>
      <c r="C77" s="534"/>
      <c r="D77" s="616"/>
      <c r="E77" s="616"/>
      <c r="F77" s="534"/>
      <c r="G77" s="616"/>
      <c r="H77" s="607"/>
      <c r="I77" s="607"/>
      <c r="J77" s="534"/>
      <c r="K77" s="616"/>
      <c r="L77" s="616"/>
      <c r="M77" s="534"/>
      <c r="N77" s="248"/>
      <c r="O77" s="533">
        <v>8</v>
      </c>
      <c r="P77" s="532"/>
      <c r="Q77" s="531"/>
      <c r="R77" s="532"/>
      <c r="S77" s="532">
        <v>7</v>
      </c>
      <c r="T77" s="613">
        <f>SUM(P$70:S77)</f>
        <v>31</v>
      </c>
      <c r="U77" s="614">
        <f t="shared" si="20"/>
        <v>-19</v>
      </c>
      <c r="V77" s="615">
        <f>SUM(W$70:Z77)</f>
        <v>50</v>
      </c>
      <c r="W77" s="532"/>
      <c r="X77" s="531"/>
      <c r="Y77" s="531"/>
      <c r="Z77" s="565">
        <v>7</v>
      </c>
      <c r="AA77" s="248"/>
      <c r="AB77" s="522"/>
      <c r="AC77" s="534"/>
      <c r="AD77" s="616"/>
      <c r="AE77" s="616"/>
      <c r="AF77" s="534"/>
      <c r="AG77" s="616"/>
      <c r="AH77" s="607"/>
      <c r="AI77" s="607"/>
      <c r="AJ77" s="534"/>
      <c r="AK77" s="616"/>
      <c r="AL77" s="616"/>
      <c r="AM77" s="534"/>
      <c r="AN77" s="248"/>
      <c r="AO77" s="50"/>
      <c r="AP77" s="34"/>
      <c r="AQ77" s="38"/>
      <c r="AR77" s="38"/>
      <c r="AS77" s="34"/>
      <c r="AT77" s="256"/>
      <c r="AU77" s="248"/>
      <c r="AV77" s="256"/>
      <c r="AW77" s="34"/>
      <c r="AX77" s="38"/>
      <c r="AY77" s="38"/>
      <c r="AZ77" s="34"/>
      <c r="BA77" s="249"/>
      <c r="BB77" s="522"/>
      <c r="BC77" s="534"/>
      <c r="BD77" s="616"/>
      <c r="BE77" s="616"/>
      <c r="BF77" s="534"/>
      <c r="BG77" s="616"/>
      <c r="BH77" s="607"/>
      <c r="BI77" s="607"/>
      <c r="BJ77" s="534"/>
      <c r="BK77" s="616"/>
      <c r="BL77" s="616"/>
      <c r="BM77" s="534"/>
      <c r="BN77" s="604"/>
      <c r="BO77" s="533">
        <v>8</v>
      </c>
      <c r="BP77" s="532"/>
      <c r="BQ77" s="531"/>
      <c r="BR77" s="532"/>
      <c r="BS77" s="1427">
        <v>8</v>
      </c>
      <c r="BT77" s="613">
        <f>SUM(BP$70:BS77)</f>
        <v>50</v>
      </c>
      <c r="BU77" s="614">
        <f t="shared" si="23"/>
        <v>13</v>
      </c>
      <c r="BV77" s="615">
        <f>SUM(BW$70:BZ77)</f>
        <v>37</v>
      </c>
      <c r="BW77" s="532"/>
      <c r="BX77" s="531"/>
      <c r="BY77" s="531"/>
      <c r="BZ77" s="532"/>
      <c r="CA77" s="604"/>
      <c r="CB77" s="533">
        <v>8</v>
      </c>
      <c r="CC77" s="532"/>
      <c r="CD77" s="531"/>
      <c r="CE77" s="531"/>
      <c r="CF77" s="1427">
        <v>6</v>
      </c>
      <c r="CG77" s="613">
        <f>SUM(CC$70:CF77)</f>
        <v>50</v>
      </c>
      <c r="CH77" s="614">
        <f t="shared" si="24"/>
        <v>21</v>
      </c>
      <c r="CI77" s="615">
        <f>SUM(CJ$70:CM77)</f>
        <v>29</v>
      </c>
      <c r="CJ77" s="532"/>
      <c r="CK77" s="531"/>
      <c r="CL77" s="531"/>
      <c r="CM77" s="532"/>
      <c r="CN77" s="605"/>
    </row>
    <row r="78" spans="1:92" ht="15">
      <c r="A78" s="1537"/>
      <c r="B78" s="522"/>
      <c r="C78" s="534"/>
      <c r="D78" s="616"/>
      <c r="E78" s="616"/>
      <c r="F78" s="534"/>
      <c r="G78" s="616"/>
      <c r="H78" s="607"/>
      <c r="I78" s="607"/>
      <c r="J78" s="534"/>
      <c r="K78" s="616"/>
      <c r="L78" s="616"/>
      <c r="M78" s="534"/>
      <c r="N78" s="248"/>
      <c r="O78" s="522"/>
      <c r="P78" s="534"/>
      <c r="Q78" s="616"/>
      <c r="R78" s="534"/>
      <c r="S78" s="534"/>
      <c r="T78" s="616"/>
      <c r="U78" s="607"/>
      <c r="V78" s="607"/>
      <c r="W78" s="534"/>
      <c r="X78" s="616"/>
      <c r="Y78" s="616"/>
      <c r="Z78" s="534"/>
      <c r="AA78" s="248"/>
      <c r="AB78" s="522"/>
      <c r="AC78" s="534"/>
      <c r="AD78" s="616"/>
      <c r="AE78" s="616"/>
      <c r="AF78" s="534"/>
      <c r="AG78" s="616"/>
      <c r="AH78" s="607"/>
      <c r="AI78" s="607"/>
      <c r="AJ78" s="534"/>
      <c r="AK78" s="616"/>
      <c r="AL78" s="616"/>
      <c r="AM78" s="534"/>
      <c r="AN78" s="248"/>
      <c r="AO78" s="50"/>
      <c r="AP78" s="34"/>
      <c r="AQ78" s="38"/>
      <c r="AR78" s="38"/>
      <c r="AS78" s="34"/>
      <c r="AT78" s="256"/>
      <c r="AU78" s="248"/>
      <c r="AV78" s="256"/>
      <c r="AW78" s="34"/>
      <c r="AX78" s="38"/>
      <c r="AY78" s="38"/>
      <c r="AZ78" s="34"/>
      <c r="BA78" s="249"/>
      <c r="BB78" s="522"/>
      <c r="BC78" s="534"/>
      <c r="BD78" s="616"/>
      <c r="BE78" s="616"/>
      <c r="BF78" s="534"/>
      <c r="BG78" s="616"/>
      <c r="BH78" s="607"/>
      <c r="BI78" s="607"/>
      <c r="BJ78" s="534"/>
      <c r="BK78" s="616"/>
      <c r="BL78" s="616"/>
      <c r="BM78" s="534"/>
      <c r="BN78" s="604"/>
      <c r="BO78" s="522"/>
      <c r="BP78" s="534"/>
      <c r="BQ78" s="616"/>
      <c r="BR78" s="534"/>
      <c r="BS78" s="534"/>
      <c r="BT78" s="616"/>
      <c r="BU78" s="607"/>
      <c r="BV78" s="607"/>
      <c r="BW78" s="534"/>
      <c r="BX78" s="616"/>
      <c r="BY78" s="616"/>
      <c r="BZ78" s="534"/>
      <c r="CA78" s="604"/>
      <c r="CB78" s="522"/>
      <c r="CC78" s="534"/>
      <c r="CD78" s="616"/>
      <c r="CE78" s="616"/>
      <c r="CF78" s="534"/>
      <c r="CG78" s="616"/>
      <c r="CH78" s="607"/>
      <c r="CI78" s="607"/>
      <c r="CJ78" s="534"/>
      <c r="CK78" s="616"/>
      <c r="CL78" s="616"/>
      <c r="CM78" s="534"/>
      <c r="CN78" s="605"/>
    </row>
    <row r="79" spans="1:92" ht="15">
      <c r="A79" s="1537"/>
      <c r="B79" s="64" t="s">
        <v>3</v>
      </c>
      <c r="C79" s="52">
        <f>SUM(C70:C78)</f>
        <v>21</v>
      </c>
      <c r="D79" s="52">
        <f>SUM(D70:D78)</f>
        <v>9</v>
      </c>
      <c r="E79" s="52">
        <f>SUM(E70:E78)</f>
        <v>0</v>
      </c>
      <c r="F79" s="52">
        <f>SUM(F70:F78)</f>
        <v>9</v>
      </c>
      <c r="G79" s="66">
        <f>SUM(C79:F79)</f>
        <v>39</v>
      </c>
      <c r="H79" s="251"/>
      <c r="I79" s="66">
        <f>SUM(J79:M79)</f>
        <v>50</v>
      </c>
      <c r="J79" s="52">
        <f>SUM(J70:J78)</f>
        <v>15</v>
      </c>
      <c r="K79" s="52">
        <f>SUM(K70:K78)</f>
        <v>14</v>
      </c>
      <c r="L79" s="52">
        <f>SUM(L70:L78)</f>
        <v>13</v>
      </c>
      <c r="M79" s="65">
        <f>SUM(M70:M78)</f>
        <v>8</v>
      </c>
      <c r="N79" s="248"/>
      <c r="O79" s="64" t="s">
        <v>3</v>
      </c>
      <c r="P79" s="52">
        <f>SUM(P70:P78)</f>
        <v>4</v>
      </c>
      <c r="Q79" s="65">
        <f>SUM(Q70:Q78)</f>
        <v>11</v>
      </c>
      <c r="R79" s="52">
        <f>SUM(R70:R78)</f>
        <v>9</v>
      </c>
      <c r="S79" s="52">
        <f>SUM(S70:S78)</f>
        <v>7</v>
      </c>
      <c r="T79" s="66">
        <f>SUM(P79:S79)</f>
        <v>31</v>
      </c>
      <c r="U79" s="251"/>
      <c r="V79" s="66">
        <f>SUM(W79:Z79)</f>
        <v>50</v>
      </c>
      <c r="W79" s="52">
        <f>SUM(W70:W78)</f>
        <v>16</v>
      </c>
      <c r="X79" s="52">
        <f>SUM(X70:X78)</f>
        <v>17</v>
      </c>
      <c r="Y79" s="52">
        <f>SUM(Y70:Y78)</f>
        <v>3</v>
      </c>
      <c r="Z79" s="52">
        <f>SUM(Z70:Z78)</f>
        <v>14</v>
      </c>
      <c r="AA79" s="248"/>
      <c r="AB79" s="64" t="s">
        <v>3</v>
      </c>
      <c r="AC79" s="52">
        <f>SUM(AC70:AC78)</f>
        <v>13</v>
      </c>
      <c r="AD79" s="52">
        <f>SUM(AD70:AD78)</f>
        <v>16</v>
      </c>
      <c r="AE79" s="52">
        <f>SUM(AE70:AE78)</f>
        <v>9</v>
      </c>
      <c r="AF79" s="52">
        <f>SUM(AF70:AF78)</f>
        <v>12</v>
      </c>
      <c r="AG79" s="66">
        <f>SUM(AC79:AF79)</f>
        <v>50</v>
      </c>
      <c r="AH79" s="251"/>
      <c r="AI79" s="66">
        <f>SUM(AJ79:AM79)</f>
        <v>31</v>
      </c>
      <c r="AJ79" s="52">
        <f>SUM(AJ70:AJ78)</f>
        <v>20</v>
      </c>
      <c r="AK79" s="52">
        <f>SUM(AK70:AK78)</f>
        <v>9</v>
      </c>
      <c r="AL79" s="52">
        <f>SUM(AL70:AL78)</f>
        <v>0</v>
      </c>
      <c r="AM79" s="65">
        <f>SUM(AM70:AM78)</f>
        <v>2</v>
      </c>
      <c r="AN79" s="248"/>
      <c r="AO79" s="61"/>
      <c r="AP79" s="34"/>
      <c r="AQ79" s="34"/>
      <c r="AR79" s="34"/>
      <c r="AS79" s="34"/>
      <c r="AT79" s="62"/>
      <c r="AU79" s="248"/>
      <c r="AV79" s="62"/>
      <c r="AW79" s="34"/>
      <c r="AX79" s="34"/>
      <c r="AY79" s="34"/>
      <c r="AZ79" s="34"/>
      <c r="BA79" s="249"/>
      <c r="BB79" s="539" t="s">
        <v>3</v>
      </c>
      <c r="BC79" s="531">
        <f>SUM(BC70:BC78)</f>
        <v>23</v>
      </c>
      <c r="BD79" s="531">
        <f>SUM(BD70:BD78)</f>
        <v>7</v>
      </c>
      <c r="BE79" s="531">
        <f>SUM(BE70:BE78)</f>
        <v>11</v>
      </c>
      <c r="BF79" s="531">
        <f>SUM(BF70:BF78)</f>
        <v>9</v>
      </c>
      <c r="BG79" s="541">
        <f>SUM(BC79:BF79)</f>
        <v>50</v>
      </c>
      <c r="BH79" s="607"/>
      <c r="BI79" s="541">
        <f>SUM(BJ79:BM79)</f>
        <v>40</v>
      </c>
      <c r="BJ79" s="531">
        <f>SUM(BJ70:BJ78)</f>
        <v>9</v>
      </c>
      <c r="BK79" s="531">
        <f>SUM(BK70:BK78)</f>
        <v>11</v>
      </c>
      <c r="BL79" s="531">
        <f>SUM(BL70:BL78)</f>
        <v>8</v>
      </c>
      <c r="BM79" s="540">
        <f>SUM(BM70:BM78)</f>
        <v>12</v>
      </c>
      <c r="BN79" s="604"/>
      <c r="BO79" s="539" t="s">
        <v>3</v>
      </c>
      <c r="BP79" s="531">
        <f>SUM(BP70:BP78)</f>
        <v>18</v>
      </c>
      <c r="BQ79" s="540">
        <f>SUM(BQ70:BQ78)</f>
        <v>12</v>
      </c>
      <c r="BR79" s="531">
        <f>SUM(BR70:BR78)</f>
        <v>5</v>
      </c>
      <c r="BS79" s="531">
        <f>SUM(BS70:BS78)</f>
        <v>15</v>
      </c>
      <c r="BT79" s="541">
        <f>SUM(BP79:BS79)</f>
        <v>50</v>
      </c>
      <c r="BU79" s="607"/>
      <c r="BV79" s="541">
        <f>SUM(BW79:BZ79)</f>
        <v>37</v>
      </c>
      <c r="BW79" s="531">
        <f>SUM(BW70:BW78)</f>
        <v>10</v>
      </c>
      <c r="BX79" s="531">
        <f>SUM(BX70:BX78)</f>
        <v>7</v>
      </c>
      <c r="BY79" s="531">
        <f>SUM(BY70:BY78)</f>
        <v>12</v>
      </c>
      <c r="BZ79" s="531">
        <f>SUM(BZ70:BZ78)</f>
        <v>8</v>
      </c>
      <c r="CA79" s="604"/>
      <c r="CB79" s="539" t="s">
        <v>3</v>
      </c>
      <c r="CC79" s="531">
        <f>SUM(CC70:CC78)</f>
        <v>6</v>
      </c>
      <c r="CD79" s="531">
        <f>SUM(CD70:CD78)</f>
        <v>12</v>
      </c>
      <c r="CE79" s="531">
        <f>SUM(CE70:CE78)</f>
        <v>17</v>
      </c>
      <c r="CF79" s="531">
        <f>SUM(CF70:CF78)</f>
        <v>15</v>
      </c>
      <c r="CG79" s="541">
        <f>SUM(CC79:CF79)</f>
        <v>50</v>
      </c>
      <c r="CH79" s="607"/>
      <c r="CI79" s="541">
        <f>SUM(CJ79:CM79)</f>
        <v>29</v>
      </c>
      <c r="CJ79" s="531">
        <f>SUM(CJ70:CJ78)</f>
        <v>6</v>
      </c>
      <c r="CK79" s="531">
        <f>SUM(CK70:CK78)</f>
        <v>13</v>
      </c>
      <c r="CL79" s="531">
        <f>SUM(CL70:CL78)</f>
        <v>10</v>
      </c>
      <c r="CM79" s="540">
        <f>SUM(CM70:CM78)</f>
        <v>0</v>
      </c>
      <c r="CN79" s="605"/>
    </row>
    <row r="80" spans="1:92" ht="15">
      <c r="A80" s="1537"/>
      <c r="B80" s="67" t="s">
        <v>4</v>
      </c>
      <c r="C80" s="53">
        <f>COUNTA(C70:C78)</f>
        <v>2</v>
      </c>
      <c r="D80" s="53">
        <f>COUNTA(D70:D78)</f>
        <v>2</v>
      </c>
      <c r="E80" s="53">
        <f>COUNTA(E70:E78)</f>
        <v>2</v>
      </c>
      <c r="F80" s="53">
        <f>COUNTA(F70:F78)</f>
        <v>1</v>
      </c>
      <c r="G80" s="66">
        <f>SUM(C80:F80)</f>
        <v>7</v>
      </c>
      <c r="H80" s="251"/>
      <c r="I80" s="66">
        <f>SUM(J80:M80)</f>
        <v>7</v>
      </c>
      <c r="J80" s="53">
        <f>COUNTA(J70:J78)</f>
        <v>2</v>
      </c>
      <c r="K80" s="53">
        <f>COUNTA(K70:K78)</f>
        <v>2</v>
      </c>
      <c r="L80" s="53">
        <f>COUNTA(L70:L78)</f>
        <v>2</v>
      </c>
      <c r="M80" s="53">
        <f>COUNTA(M70:M78)</f>
        <v>1</v>
      </c>
      <c r="N80" s="248"/>
      <c r="O80" s="67" t="s">
        <v>4</v>
      </c>
      <c r="P80" s="53">
        <f>COUNTA(P70:P78)</f>
        <v>2</v>
      </c>
      <c r="Q80" s="53">
        <f>COUNTA(Q70:Q78)</f>
        <v>2</v>
      </c>
      <c r="R80" s="53">
        <f>COUNTA(R70:R78)</f>
        <v>2</v>
      </c>
      <c r="S80" s="53">
        <f>COUNTA(S70:S78)</f>
        <v>2</v>
      </c>
      <c r="T80" s="66">
        <f>SUM(P80:S80)</f>
        <v>8</v>
      </c>
      <c r="U80" s="251"/>
      <c r="V80" s="66">
        <f>SUM(W80:Z80)</f>
        <v>8</v>
      </c>
      <c r="W80" s="53">
        <f>COUNTA(W70:W78)</f>
        <v>2</v>
      </c>
      <c r="X80" s="53">
        <f>COUNTA(X70:X78)</f>
        <v>2</v>
      </c>
      <c r="Y80" s="53">
        <f>COUNTA(Y70:Y78)</f>
        <v>2</v>
      </c>
      <c r="Z80" s="53">
        <f>COUNTA(Z70:Z78)</f>
        <v>2</v>
      </c>
      <c r="AA80" s="248"/>
      <c r="AB80" s="67" t="s">
        <v>4</v>
      </c>
      <c r="AC80" s="53">
        <f>COUNTA(AC70:AC78)</f>
        <v>2</v>
      </c>
      <c r="AD80" s="53">
        <f>COUNTA(AD70:AD78)</f>
        <v>2</v>
      </c>
      <c r="AE80" s="53">
        <f>COUNTA(AE70:AE78)</f>
        <v>1</v>
      </c>
      <c r="AF80" s="53">
        <f>COUNTA(AF70:AF78)</f>
        <v>1</v>
      </c>
      <c r="AG80" s="66">
        <f>SUM(AC80:AF80)</f>
        <v>6</v>
      </c>
      <c r="AH80" s="251"/>
      <c r="AI80" s="66">
        <f>SUM(AJ80:AM80)</f>
        <v>5</v>
      </c>
      <c r="AJ80" s="53">
        <f>COUNTA(AJ70:AJ78)</f>
        <v>2</v>
      </c>
      <c r="AK80" s="53">
        <f>COUNTA(AK70:AK78)</f>
        <v>1</v>
      </c>
      <c r="AL80" s="53">
        <f>COUNTA(AL70:AL78)</f>
        <v>1</v>
      </c>
      <c r="AM80" s="53">
        <f>COUNTA(AM70:AM78)</f>
        <v>1</v>
      </c>
      <c r="AN80" s="248"/>
      <c r="AO80" s="61"/>
      <c r="AP80" s="63"/>
      <c r="AQ80" s="63"/>
      <c r="AR80" s="63"/>
      <c r="AS80" s="63"/>
      <c r="AT80" s="62"/>
      <c r="AU80" s="248"/>
      <c r="AV80" s="62"/>
      <c r="AW80" s="38"/>
      <c r="AX80" s="38"/>
      <c r="AY80" s="38"/>
      <c r="AZ80" s="38"/>
      <c r="BA80" s="249"/>
      <c r="BB80" s="542" t="s">
        <v>4</v>
      </c>
      <c r="BC80" s="532">
        <f>COUNTA(BC70:BC78)</f>
        <v>2</v>
      </c>
      <c r="BD80" s="532">
        <f>COUNTA(BD70:BD78)</f>
        <v>2</v>
      </c>
      <c r="BE80" s="532">
        <f>COUNTA(BE70:BE78)</f>
        <v>1</v>
      </c>
      <c r="BF80" s="532">
        <f>COUNTA(BF70:BF78)</f>
        <v>1</v>
      </c>
      <c r="BG80" s="541">
        <f>SUM(BC80:BF80)</f>
        <v>6</v>
      </c>
      <c r="BH80" s="607"/>
      <c r="BI80" s="541">
        <f>SUM(BJ80:BM80)</f>
        <v>5</v>
      </c>
      <c r="BJ80" s="532">
        <f>COUNTA(BJ70:BJ78)</f>
        <v>2</v>
      </c>
      <c r="BK80" s="532">
        <f>COUNTA(BK70:BK78)</f>
        <v>1</v>
      </c>
      <c r="BL80" s="532">
        <f>COUNTA(BL70:BL78)</f>
        <v>1</v>
      </c>
      <c r="BM80" s="532">
        <f>COUNTA(BM70:BM78)</f>
        <v>1</v>
      </c>
      <c r="BN80" s="604"/>
      <c r="BO80" s="542" t="s">
        <v>4</v>
      </c>
      <c r="BP80" s="532">
        <f>COUNTA(BP70:BP78)</f>
        <v>2</v>
      </c>
      <c r="BQ80" s="532">
        <f>COUNTA(BQ70:BQ78)</f>
        <v>2</v>
      </c>
      <c r="BR80" s="532">
        <f>COUNTA(BR70:BR78)</f>
        <v>2</v>
      </c>
      <c r="BS80" s="532">
        <f>COUNTA(BS70:BS78)</f>
        <v>2</v>
      </c>
      <c r="BT80" s="541">
        <f>SUM(BP80:BS80)</f>
        <v>8</v>
      </c>
      <c r="BU80" s="607"/>
      <c r="BV80" s="541">
        <f>SUM(BW80:BZ80)</f>
        <v>7</v>
      </c>
      <c r="BW80" s="532">
        <f>COUNTA(BW70:BW78)</f>
        <v>2</v>
      </c>
      <c r="BX80" s="532">
        <f>COUNTA(BX70:BX78)</f>
        <v>2</v>
      </c>
      <c r="BY80" s="532">
        <f>COUNTA(BY70:BY78)</f>
        <v>2</v>
      </c>
      <c r="BZ80" s="532">
        <f>COUNTA(BZ70:BZ78)</f>
        <v>1</v>
      </c>
      <c r="CA80" s="604"/>
      <c r="CB80" s="542" t="s">
        <v>4</v>
      </c>
      <c r="CC80" s="532">
        <f>COUNTA(CC70:CC78)</f>
        <v>2</v>
      </c>
      <c r="CD80" s="532">
        <f>COUNTA(CD70:CD78)</f>
        <v>2</v>
      </c>
      <c r="CE80" s="532">
        <f>COUNTA(CE70:CE78)</f>
        <v>2</v>
      </c>
      <c r="CF80" s="532">
        <f>COUNTA(CF70:CF78)</f>
        <v>2</v>
      </c>
      <c r="CG80" s="541">
        <f>SUM(CC80:CF80)</f>
        <v>8</v>
      </c>
      <c r="CH80" s="607"/>
      <c r="CI80" s="541">
        <f>SUM(CJ80:CM80)</f>
        <v>7</v>
      </c>
      <c r="CJ80" s="532">
        <f>COUNTA(CJ70:CJ78)</f>
        <v>2</v>
      </c>
      <c r="CK80" s="532">
        <f>COUNTA(CK70:CK78)</f>
        <v>2</v>
      </c>
      <c r="CL80" s="532">
        <f>COUNTA(CL70:CL78)</f>
        <v>2</v>
      </c>
      <c r="CM80" s="532">
        <f>COUNTA(CM70:CM78)</f>
        <v>1</v>
      </c>
      <c r="CN80" s="605"/>
    </row>
    <row r="81" spans="1:92" ht="15">
      <c r="A81" s="1537"/>
      <c r="B81" s="64" t="s">
        <v>6</v>
      </c>
      <c r="C81" s="52">
        <f>C80-COUNT(C70:C78)</f>
        <v>0</v>
      </c>
      <c r="D81" s="52">
        <f>D80-COUNT(D70:D78)</f>
        <v>0</v>
      </c>
      <c r="E81" s="52">
        <f>E80-COUNT(E70:E78)</f>
        <v>2</v>
      </c>
      <c r="F81" s="52">
        <f>F80-COUNT(F70:F78)</f>
        <v>0</v>
      </c>
      <c r="G81" s="66">
        <f>SUM(C81:F81)</f>
        <v>2</v>
      </c>
      <c r="H81" s="251"/>
      <c r="I81" s="66">
        <f>SUM(J81:M81)</f>
        <v>0</v>
      </c>
      <c r="J81" s="52">
        <f>J80-COUNT(J70:J78)</f>
        <v>0</v>
      </c>
      <c r="K81" s="65">
        <f>K80-COUNT(K70:K78)</f>
        <v>0</v>
      </c>
      <c r="L81" s="65">
        <f>L80-COUNT(L70:L78)</f>
        <v>0</v>
      </c>
      <c r="M81" s="52">
        <f>M80-COUNT(M70:M78)</f>
        <v>0</v>
      </c>
      <c r="N81" s="248"/>
      <c r="O81" s="64" t="s">
        <v>6</v>
      </c>
      <c r="P81" s="65">
        <f>P80-COUNT(P70:P78)</f>
        <v>1</v>
      </c>
      <c r="Q81" s="65">
        <f>Q80-COUNT(Q70:Q78)</f>
        <v>0</v>
      </c>
      <c r="R81" s="65">
        <f>R80-COUNT(R70:R78)</f>
        <v>0</v>
      </c>
      <c r="S81" s="65">
        <f>S80-COUNT(S70:S78)</f>
        <v>1</v>
      </c>
      <c r="T81" s="66">
        <f>SUM(P81:S81)</f>
        <v>2</v>
      </c>
      <c r="U81" s="251"/>
      <c r="V81" s="66">
        <f>SUM(W81:Z81)</f>
        <v>1</v>
      </c>
      <c r="W81" s="52">
        <f>W80-COUNT(W70:W78)</f>
        <v>0</v>
      </c>
      <c r="X81" s="52">
        <f>X80-COUNT(X70:X78)</f>
        <v>0</v>
      </c>
      <c r="Y81" s="52">
        <f>Y80-COUNT(Y70:Y78)</f>
        <v>1</v>
      </c>
      <c r="Z81" s="531">
        <f>Z80-COUNT(Z70:Z78)</f>
        <v>0</v>
      </c>
      <c r="AA81" s="248"/>
      <c r="AB81" s="64" t="s">
        <v>6</v>
      </c>
      <c r="AC81" s="52">
        <f>AC80-COUNT(AC70:AC78)</f>
        <v>0</v>
      </c>
      <c r="AD81" s="52">
        <f>AD80-COUNT(AD70:AD78)</f>
        <v>0</v>
      </c>
      <c r="AE81" s="52">
        <f>AE80-COUNT(AE70:AE78)</f>
        <v>0</v>
      </c>
      <c r="AF81" s="52">
        <f>AF80-COUNT(AF70:AF78)</f>
        <v>0</v>
      </c>
      <c r="AG81" s="66">
        <f>SUM(AC81:AF81)</f>
        <v>0</v>
      </c>
      <c r="AH81" s="251"/>
      <c r="AI81" s="66">
        <f>SUM(AJ81:AM81)</f>
        <v>1</v>
      </c>
      <c r="AJ81" s="52">
        <f>AJ80-COUNT(AJ70:AJ78)</f>
        <v>0</v>
      </c>
      <c r="AK81" s="65">
        <f>AK80-COUNT(AK70:AK78)</f>
        <v>0</v>
      </c>
      <c r="AL81" s="65">
        <f>AL80-COUNT(AL70:AL78)</f>
        <v>1</v>
      </c>
      <c r="AM81" s="52">
        <f>AM80-COUNT(AM70:AM78)</f>
        <v>0</v>
      </c>
      <c r="AN81" s="248"/>
      <c r="AO81" s="61"/>
      <c r="AP81" s="69"/>
      <c r="AQ81" s="71"/>
      <c r="AR81" s="71"/>
      <c r="AS81" s="71"/>
      <c r="AT81" s="70"/>
      <c r="AU81" s="248"/>
      <c r="AV81" s="70"/>
      <c r="AW81" s="69"/>
      <c r="AX81" s="69"/>
      <c r="AY81" s="69"/>
      <c r="AZ81" s="69"/>
      <c r="BA81" s="249"/>
      <c r="BB81" s="539" t="s">
        <v>6</v>
      </c>
      <c r="BC81" s="531">
        <f>BC80-COUNT(BC70:BC78)</f>
        <v>0</v>
      </c>
      <c r="BD81" s="531">
        <f>BD80-COUNT(BD70:BD78)</f>
        <v>0</v>
      </c>
      <c r="BE81" s="531">
        <f>BE80-COUNT(BE70:BE78)</f>
        <v>0</v>
      </c>
      <c r="BF81" s="531">
        <f>BF80-COUNT(BF70:BF78)</f>
        <v>0</v>
      </c>
      <c r="BG81" s="541">
        <f>SUM(BC81:BF81)</f>
        <v>0</v>
      </c>
      <c r="BH81" s="607"/>
      <c r="BI81" s="541">
        <f>SUM(BJ81:BM81)</f>
        <v>0</v>
      </c>
      <c r="BJ81" s="531">
        <f>BJ80-COUNT(BJ70:BJ78)</f>
        <v>0</v>
      </c>
      <c r="BK81" s="540">
        <f>BK80-COUNT(BK70:BK78)</f>
        <v>0</v>
      </c>
      <c r="BL81" s="540">
        <f>BL80-COUNT(BL70:BL78)</f>
        <v>0</v>
      </c>
      <c r="BM81" s="531">
        <f>BM80-COUNT(BM70:BM78)</f>
        <v>0</v>
      </c>
      <c r="BN81" s="604"/>
      <c r="BO81" s="539" t="s">
        <v>6</v>
      </c>
      <c r="BP81" s="540">
        <f>BP80-COUNT(BP70:BP78)</f>
        <v>0</v>
      </c>
      <c r="BQ81" s="540">
        <f>BQ80-COUNT(BQ70:BQ78)</f>
        <v>0</v>
      </c>
      <c r="BR81" s="540">
        <f>BR80-COUNT(BR70:BR78)</f>
        <v>0</v>
      </c>
      <c r="BS81" s="540">
        <f>BS80-COUNT(BS70:BS78)</f>
        <v>0</v>
      </c>
      <c r="BT81" s="541">
        <f>SUM(BP81:BS81)</f>
        <v>0</v>
      </c>
      <c r="BU81" s="607"/>
      <c r="BV81" s="541">
        <f>SUM(BW81:BZ81)</f>
        <v>1</v>
      </c>
      <c r="BW81" s="531">
        <f>BW80-COUNT(BW70:BW78)</f>
        <v>1</v>
      </c>
      <c r="BX81" s="531">
        <f>BX80-COUNT(BX70:BX78)</f>
        <v>0</v>
      </c>
      <c r="BY81" s="531">
        <f>BY80-COUNT(BY70:BY78)</f>
        <v>0</v>
      </c>
      <c r="BZ81" s="531">
        <f>BZ80-COUNT(BZ70:BZ78)</f>
        <v>0</v>
      </c>
      <c r="CA81" s="604"/>
      <c r="CB81" s="539" t="s">
        <v>6</v>
      </c>
      <c r="CC81" s="531">
        <f>CC80-COUNT(CC70:CC78)</f>
        <v>1</v>
      </c>
      <c r="CD81" s="531">
        <f>CD80-COUNT(CD70:CD78)</f>
        <v>0</v>
      </c>
      <c r="CE81" s="531">
        <f>CE80-COUNT(CE70:CE78)</f>
        <v>0</v>
      </c>
      <c r="CF81" s="531">
        <f>CF80-COUNT(CF70:CF78)</f>
        <v>0</v>
      </c>
      <c r="CG81" s="541">
        <f>SUM(CC81:CF81)</f>
        <v>1</v>
      </c>
      <c r="CH81" s="607"/>
      <c r="CI81" s="541">
        <f>SUM(CJ81:CM81)</f>
        <v>2</v>
      </c>
      <c r="CJ81" s="531">
        <f>CJ80-COUNT(CJ70:CJ78)</f>
        <v>0</v>
      </c>
      <c r="CK81" s="540">
        <f>CK80-COUNT(CK70:CK78)</f>
        <v>0</v>
      </c>
      <c r="CL81" s="540">
        <f>CL80-COUNT(CL70:CL78)</f>
        <v>1</v>
      </c>
      <c r="CM81" s="531">
        <f>CM80-COUNT(CM70:CM78)</f>
        <v>1</v>
      </c>
      <c r="CN81" s="605"/>
    </row>
    <row r="82" spans="1:92" ht="15">
      <c r="A82" s="1537"/>
      <c r="B82" s="64" t="s">
        <v>12</v>
      </c>
      <c r="C82" s="75">
        <f>C81/C80</f>
        <v>0</v>
      </c>
      <c r="D82" s="72">
        <f>D81/D80</f>
        <v>0</v>
      </c>
      <c r="E82" s="72">
        <f>E81/E80</f>
        <v>1</v>
      </c>
      <c r="F82" s="72">
        <f>F81/F80</f>
        <v>0</v>
      </c>
      <c r="G82" s="74">
        <f>G81/G80</f>
        <v>0.2857142857142857</v>
      </c>
      <c r="H82" s="251"/>
      <c r="I82" s="74">
        <f>I81/I80</f>
        <v>0</v>
      </c>
      <c r="J82" s="72">
        <f>J81/J80</f>
        <v>0</v>
      </c>
      <c r="K82" s="73">
        <f>K81/K80</f>
        <v>0</v>
      </c>
      <c r="L82" s="73">
        <f>L81/L80</f>
        <v>0</v>
      </c>
      <c r="M82" s="72">
        <f>M81/M80</f>
        <v>0</v>
      </c>
      <c r="N82" s="248"/>
      <c r="O82" s="64" t="s">
        <v>12</v>
      </c>
      <c r="P82" s="72">
        <f>P81/P80</f>
        <v>0.5</v>
      </c>
      <c r="Q82" s="73">
        <f>Q81/Q80</f>
        <v>0</v>
      </c>
      <c r="R82" s="73">
        <f>R81/R80</f>
        <v>0</v>
      </c>
      <c r="S82" s="73">
        <f>S81/S80</f>
        <v>0.5</v>
      </c>
      <c r="T82" s="74">
        <f>T81/T80</f>
        <v>0.25</v>
      </c>
      <c r="U82" s="251"/>
      <c r="V82" s="74">
        <f>V81/V80</f>
        <v>0.125</v>
      </c>
      <c r="W82" s="72">
        <f>W81/W80</f>
        <v>0</v>
      </c>
      <c r="X82" s="72">
        <f>X81/X80</f>
        <v>0</v>
      </c>
      <c r="Y82" s="72">
        <f>Y81/Y80</f>
        <v>0.5</v>
      </c>
      <c r="Z82" s="72">
        <f>Z81/Z80</f>
        <v>0</v>
      </c>
      <c r="AA82" s="248"/>
      <c r="AB82" s="64" t="s">
        <v>12</v>
      </c>
      <c r="AC82" s="75">
        <f>AC81/AC80</f>
        <v>0</v>
      </c>
      <c r="AD82" s="72">
        <f>AD81/AD80</f>
        <v>0</v>
      </c>
      <c r="AE82" s="72">
        <f>AE81/AE80</f>
        <v>0</v>
      </c>
      <c r="AF82" s="72">
        <f>AF81/AF80</f>
        <v>0</v>
      </c>
      <c r="AG82" s="74">
        <f>AG81/AG80</f>
        <v>0</v>
      </c>
      <c r="AH82" s="251"/>
      <c r="AI82" s="74">
        <f>AI81/AI80</f>
        <v>0.2</v>
      </c>
      <c r="AJ82" s="72">
        <f>AJ81/AJ80</f>
        <v>0</v>
      </c>
      <c r="AK82" s="73">
        <f>AK81/AK80</f>
        <v>0</v>
      </c>
      <c r="AL82" s="73">
        <f>AL81/AL80</f>
        <v>1</v>
      </c>
      <c r="AM82" s="72">
        <f>AM81/AM80</f>
        <v>0</v>
      </c>
      <c r="AN82" s="248"/>
      <c r="AO82" s="61"/>
      <c r="AP82" s="76"/>
      <c r="AQ82" s="78"/>
      <c r="AR82" s="78"/>
      <c r="AS82" s="76"/>
      <c r="AT82" s="77"/>
      <c r="AU82" s="248"/>
      <c r="AV82" s="77"/>
      <c r="AW82" s="76"/>
      <c r="AX82" s="76"/>
      <c r="AY82" s="76"/>
      <c r="AZ82" s="76"/>
      <c r="BA82" s="249"/>
      <c r="BB82" s="539" t="s">
        <v>12</v>
      </c>
      <c r="BC82" s="549">
        <f>BC81/BC80</f>
        <v>0</v>
      </c>
      <c r="BD82" s="546">
        <f>BD81/BD80</f>
        <v>0</v>
      </c>
      <c r="BE82" s="546">
        <f>BE81/BE80</f>
        <v>0</v>
      </c>
      <c r="BF82" s="546">
        <f>BF81/BF80</f>
        <v>0</v>
      </c>
      <c r="BG82" s="548">
        <f>BG81/BG80</f>
        <v>0</v>
      </c>
      <c r="BH82" s="607"/>
      <c r="BI82" s="548">
        <f>BI81/BI80</f>
        <v>0</v>
      </c>
      <c r="BJ82" s="546">
        <f>BJ81/BJ80</f>
        <v>0</v>
      </c>
      <c r="BK82" s="547">
        <f>BK81/BK80</f>
        <v>0</v>
      </c>
      <c r="BL82" s="547">
        <f>BL81/BL80</f>
        <v>0</v>
      </c>
      <c r="BM82" s="546">
        <f>BM81/BM80</f>
        <v>0</v>
      </c>
      <c r="BN82" s="604"/>
      <c r="BO82" s="539" t="s">
        <v>12</v>
      </c>
      <c r="BP82" s="546">
        <f>BP81/BP80</f>
        <v>0</v>
      </c>
      <c r="BQ82" s="547">
        <f>BQ81/BQ80</f>
        <v>0</v>
      </c>
      <c r="BR82" s="547">
        <f>BR81/BR80</f>
        <v>0</v>
      </c>
      <c r="BS82" s="547">
        <f>BS81/BS80</f>
        <v>0</v>
      </c>
      <c r="BT82" s="548">
        <f>BT81/BT80</f>
        <v>0</v>
      </c>
      <c r="BU82" s="607"/>
      <c r="BV82" s="548">
        <f>BV81/BV80</f>
        <v>0.14285714285714285</v>
      </c>
      <c r="BW82" s="546">
        <f>BW81/BW80</f>
        <v>0.5</v>
      </c>
      <c r="BX82" s="546">
        <f>BX81/BX80</f>
        <v>0</v>
      </c>
      <c r="BY82" s="546">
        <f>BY81/BY80</f>
        <v>0</v>
      </c>
      <c r="BZ82" s="546">
        <f>BZ81/BZ80</f>
        <v>0</v>
      </c>
      <c r="CA82" s="604"/>
      <c r="CB82" s="539" t="s">
        <v>12</v>
      </c>
      <c r="CC82" s="549">
        <f>CC81/CC80</f>
        <v>0.5</v>
      </c>
      <c r="CD82" s="546">
        <f>CD81/CD80</f>
        <v>0</v>
      </c>
      <c r="CE82" s="546">
        <f>CE81/CE80</f>
        <v>0</v>
      </c>
      <c r="CF82" s="546">
        <f>CF81/CF80</f>
        <v>0</v>
      </c>
      <c r="CG82" s="548">
        <f>CG81/CG80</f>
        <v>0.125</v>
      </c>
      <c r="CH82" s="607"/>
      <c r="CI82" s="548">
        <f>CI81/CI80</f>
        <v>0.2857142857142857</v>
      </c>
      <c r="CJ82" s="546">
        <f>CJ81/CJ80</f>
        <v>0</v>
      </c>
      <c r="CK82" s="547">
        <f>CK81/CK80</f>
        <v>0</v>
      </c>
      <c r="CL82" s="547">
        <f>CL81/CL80</f>
        <v>0.5</v>
      </c>
      <c r="CM82" s="546">
        <f>CM81/CM80</f>
        <v>1</v>
      </c>
      <c r="CN82" s="605"/>
    </row>
    <row r="83" spans="1:92" ht="15">
      <c r="A83" s="1537"/>
      <c r="B83" s="64" t="s">
        <v>5</v>
      </c>
      <c r="C83" s="79">
        <f>C79/C80</f>
        <v>10.5</v>
      </c>
      <c r="D83" s="79">
        <f>D79/D80</f>
        <v>4.5</v>
      </c>
      <c r="E83" s="79">
        <f>E79/E80</f>
        <v>0</v>
      </c>
      <c r="F83" s="79">
        <f>F79/F80</f>
        <v>9</v>
      </c>
      <c r="G83" s="81">
        <f>G79/G80</f>
        <v>5.5714285714285712</v>
      </c>
      <c r="H83" s="251"/>
      <c r="I83" s="81">
        <f>I79/I80</f>
        <v>7.1428571428571432</v>
      </c>
      <c r="J83" s="79">
        <f>J79/J80</f>
        <v>7.5</v>
      </c>
      <c r="K83" s="79">
        <f>K79/K80</f>
        <v>7</v>
      </c>
      <c r="L83" s="79">
        <f>L79/L80</f>
        <v>6.5</v>
      </c>
      <c r="M83" s="80">
        <f>M79/M80</f>
        <v>8</v>
      </c>
      <c r="N83" s="248"/>
      <c r="O83" s="64" t="s">
        <v>5</v>
      </c>
      <c r="P83" s="79">
        <f>P79/P80</f>
        <v>2</v>
      </c>
      <c r="Q83" s="80">
        <f>Q79/Q80</f>
        <v>5.5</v>
      </c>
      <c r="R83" s="79">
        <f>R79/R80</f>
        <v>4.5</v>
      </c>
      <c r="S83" s="79">
        <f>S79/S80</f>
        <v>3.5</v>
      </c>
      <c r="T83" s="81">
        <f>T79/T80</f>
        <v>3.875</v>
      </c>
      <c r="U83" s="251"/>
      <c r="V83" s="81">
        <f>V79/V80</f>
        <v>6.25</v>
      </c>
      <c r="W83" s="79">
        <f>W79/W80</f>
        <v>8</v>
      </c>
      <c r="X83" s="79">
        <f>X79/X80</f>
        <v>8.5</v>
      </c>
      <c r="Y83" s="79">
        <f>Y79/Y80</f>
        <v>1.5</v>
      </c>
      <c r="Z83" s="79">
        <f>Z79/Z80</f>
        <v>7</v>
      </c>
      <c r="AA83" s="248"/>
      <c r="AB83" s="64" t="s">
        <v>5</v>
      </c>
      <c r="AC83" s="79">
        <f>AC79/AC80</f>
        <v>6.5</v>
      </c>
      <c r="AD83" s="79">
        <f>AD79/AD80</f>
        <v>8</v>
      </c>
      <c r="AE83" s="79">
        <f>AE79/AE80</f>
        <v>9</v>
      </c>
      <c r="AF83" s="79">
        <f>AF79/AF80</f>
        <v>12</v>
      </c>
      <c r="AG83" s="81">
        <f>AG79/AG80</f>
        <v>8.3333333333333339</v>
      </c>
      <c r="AH83" s="251"/>
      <c r="AI83" s="81">
        <f>AI79/AI80</f>
        <v>6.2</v>
      </c>
      <c r="AJ83" s="79">
        <f>AJ79/AJ80</f>
        <v>10</v>
      </c>
      <c r="AK83" s="79">
        <f>AK79/AK80</f>
        <v>9</v>
      </c>
      <c r="AL83" s="79">
        <f>AL79/AL80</f>
        <v>0</v>
      </c>
      <c r="AM83" s="80">
        <f>AM79/AM80</f>
        <v>2</v>
      </c>
      <c r="AN83" s="248"/>
      <c r="AO83" s="61"/>
      <c r="AP83" s="76"/>
      <c r="AQ83" s="78"/>
      <c r="AR83" s="78"/>
      <c r="AS83" s="82"/>
      <c r="AT83" s="83"/>
      <c r="AU83" s="248"/>
      <c r="AV83" s="83"/>
      <c r="AW83" s="82"/>
      <c r="AX83" s="82"/>
      <c r="AY83" s="82"/>
      <c r="AZ83" s="82"/>
      <c r="BA83" s="249"/>
      <c r="BB83" s="539" t="s">
        <v>5</v>
      </c>
      <c r="BC83" s="553">
        <f>BC79/BC80</f>
        <v>11.5</v>
      </c>
      <c r="BD83" s="553">
        <f>BD79/BD80</f>
        <v>3.5</v>
      </c>
      <c r="BE83" s="553">
        <f>BE79/BE80</f>
        <v>11</v>
      </c>
      <c r="BF83" s="553">
        <f>BF79/BF80</f>
        <v>9</v>
      </c>
      <c r="BG83" s="555">
        <f>BG79/BG80</f>
        <v>8.3333333333333339</v>
      </c>
      <c r="BH83" s="607"/>
      <c r="BI83" s="555">
        <f>BI79/BI80</f>
        <v>8</v>
      </c>
      <c r="BJ83" s="553">
        <f>BJ79/BJ80</f>
        <v>4.5</v>
      </c>
      <c r="BK83" s="553">
        <f>BK79/BK80</f>
        <v>11</v>
      </c>
      <c r="BL83" s="553">
        <f>BL79/BL80</f>
        <v>8</v>
      </c>
      <c r="BM83" s="554">
        <f>BM79/BM80</f>
        <v>12</v>
      </c>
      <c r="BN83" s="604"/>
      <c r="BO83" s="539" t="s">
        <v>5</v>
      </c>
      <c r="BP83" s="553">
        <f>BP79/BP80</f>
        <v>9</v>
      </c>
      <c r="BQ83" s="554">
        <f>BQ79/BQ80</f>
        <v>6</v>
      </c>
      <c r="BR83" s="553">
        <f>BR79/BR80</f>
        <v>2.5</v>
      </c>
      <c r="BS83" s="553">
        <f>BS79/BS80</f>
        <v>7.5</v>
      </c>
      <c r="BT83" s="555">
        <f>BT79/BT80</f>
        <v>6.25</v>
      </c>
      <c r="BU83" s="607"/>
      <c r="BV83" s="555">
        <f>BV79/BV80</f>
        <v>5.2857142857142856</v>
      </c>
      <c r="BW83" s="553">
        <f>BW79/BW80</f>
        <v>5</v>
      </c>
      <c r="BX83" s="553">
        <f>BX79/BX80</f>
        <v>3.5</v>
      </c>
      <c r="BY83" s="553">
        <f>BY79/BY80</f>
        <v>6</v>
      </c>
      <c r="BZ83" s="553">
        <f>BZ79/BZ80</f>
        <v>8</v>
      </c>
      <c r="CA83" s="604"/>
      <c r="CB83" s="539" t="s">
        <v>5</v>
      </c>
      <c r="CC83" s="553">
        <f>CC79/CC80</f>
        <v>3</v>
      </c>
      <c r="CD83" s="553">
        <f>CD79/CD80</f>
        <v>6</v>
      </c>
      <c r="CE83" s="553">
        <f>CE79/CE80</f>
        <v>8.5</v>
      </c>
      <c r="CF83" s="553">
        <f>CF79/CF80</f>
        <v>7.5</v>
      </c>
      <c r="CG83" s="555">
        <f>CG79/CG80</f>
        <v>6.25</v>
      </c>
      <c r="CH83" s="607"/>
      <c r="CI83" s="555">
        <f>CI79/CI80</f>
        <v>4.1428571428571432</v>
      </c>
      <c r="CJ83" s="553">
        <f>CJ79/CJ80</f>
        <v>3</v>
      </c>
      <c r="CK83" s="553">
        <f>CK79/CK80</f>
        <v>6.5</v>
      </c>
      <c r="CL83" s="553">
        <f>CL79/CL80</f>
        <v>5</v>
      </c>
      <c r="CM83" s="554">
        <f>CM79/CM80</f>
        <v>0</v>
      </c>
      <c r="CN83" s="605"/>
    </row>
    <row r="84" spans="1:92" ht="15">
      <c r="A84" s="1537"/>
      <c r="B84" s="64" t="s">
        <v>8</v>
      </c>
      <c r="C84" s="84">
        <f>C79/(C80-C81)</f>
        <v>10.5</v>
      </c>
      <c r="D84" s="84">
        <f>D79/(D80-D81)</f>
        <v>4.5</v>
      </c>
      <c r="E84" s="660">
        <v>0</v>
      </c>
      <c r="F84" s="84">
        <f>F79/(F80-F81)</f>
        <v>9</v>
      </c>
      <c r="G84" s="85">
        <f>G79/(G80-G81)</f>
        <v>7.8</v>
      </c>
      <c r="H84" s="251"/>
      <c r="I84" s="85">
        <f>I79/(I80-I81)</f>
        <v>7.1428571428571432</v>
      </c>
      <c r="J84" s="84">
        <f>J79/(J80-J81)</f>
        <v>7.5</v>
      </c>
      <c r="K84" s="79">
        <f>K79/(K80-K81)</f>
        <v>7</v>
      </c>
      <c r="L84" s="79">
        <f>L79/(L80-L81)</f>
        <v>6.5</v>
      </c>
      <c r="M84" s="80">
        <f>M79/(M80-M81)</f>
        <v>8</v>
      </c>
      <c r="N84" s="248"/>
      <c r="O84" s="64" t="s">
        <v>8</v>
      </c>
      <c r="P84" s="79">
        <f>P79/(P80-P81)</f>
        <v>4</v>
      </c>
      <c r="Q84" s="80">
        <f>Q79/(Q80-Q81)</f>
        <v>5.5</v>
      </c>
      <c r="R84" s="84">
        <f>R79/(R80-R81)</f>
        <v>4.5</v>
      </c>
      <c r="S84" s="84">
        <f>S79/(S80-S81)</f>
        <v>7</v>
      </c>
      <c r="T84" s="85">
        <f>T79/(T80-T81)</f>
        <v>5.166666666666667</v>
      </c>
      <c r="U84" s="251"/>
      <c r="V84" s="85">
        <f>V79/(V80-V81)</f>
        <v>7.1428571428571432</v>
      </c>
      <c r="W84" s="84">
        <f>W79/(W80-W81)</f>
        <v>8</v>
      </c>
      <c r="X84" s="84">
        <v>0</v>
      </c>
      <c r="Y84" s="84">
        <v>0</v>
      </c>
      <c r="Z84" s="84">
        <v>0</v>
      </c>
      <c r="AA84" s="248"/>
      <c r="AB84" s="64" t="s">
        <v>8</v>
      </c>
      <c r="AC84" s="84">
        <f>AC79/(AC80-AC81)</f>
        <v>6.5</v>
      </c>
      <c r="AD84" s="84">
        <f>AD79/(AD80-AD81)</f>
        <v>8</v>
      </c>
      <c r="AE84" s="84">
        <f>AE79/(AE80-AE81)</f>
        <v>9</v>
      </c>
      <c r="AF84" s="84">
        <f>AF79/(AF80-AF81)</f>
        <v>12</v>
      </c>
      <c r="AG84" s="85">
        <f>AG79/(AG80-AG81)</f>
        <v>8.3333333333333339</v>
      </c>
      <c r="AH84" s="251"/>
      <c r="AI84" s="85">
        <f>AI79/(AI80-AI81)</f>
        <v>7.75</v>
      </c>
      <c r="AJ84" s="84">
        <f>AJ79/(AJ80-AJ81)</f>
        <v>10</v>
      </c>
      <c r="AK84" s="79">
        <f>AK79/(AK80-AK81)</f>
        <v>9</v>
      </c>
      <c r="AL84" s="662">
        <v>0</v>
      </c>
      <c r="AM84" s="80">
        <f>AM79/(AM80-AM81)</f>
        <v>2</v>
      </c>
      <c r="AN84" s="248"/>
      <c r="AO84" s="248"/>
      <c r="AP84" s="248"/>
      <c r="AQ84" s="248"/>
      <c r="AR84" s="248"/>
      <c r="AS84" s="248"/>
      <c r="AT84" s="248"/>
      <c r="AU84" s="248"/>
      <c r="AV84" s="248"/>
      <c r="AW84" s="248"/>
      <c r="AX84" s="248"/>
      <c r="AY84" s="248"/>
      <c r="AZ84" s="248"/>
      <c r="BA84" s="249"/>
      <c r="BB84" s="539" t="s">
        <v>8</v>
      </c>
      <c r="BC84" s="558">
        <f>BC79/(BC80-BC81)</f>
        <v>11.5</v>
      </c>
      <c r="BD84" s="558">
        <f>BD79/(BD80-BD81)</f>
        <v>3.5</v>
      </c>
      <c r="BE84" s="558">
        <f>BE79/(BE80-BE81)</f>
        <v>11</v>
      </c>
      <c r="BF84" s="558">
        <f>BF79/(BF80-BF81)</f>
        <v>9</v>
      </c>
      <c r="BG84" s="559">
        <f>BG79/(BG80-BG81)</f>
        <v>8.3333333333333339</v>
      </c>
      <c r="BH84" s="607"/>
      <c r="BI84" s="559">
        <f>BI79/(BI80-BI81)</f>
        <v>8</v>
      </c>
      <c r="BJ84" s="558">
        <f>BJ79/(BJ80-BJ81)</f>
        <v>4.5</v>
      </c>
      <c r="BK84" s="553">
        <f>BK79/(BK80-BK81)</f>
        <v>11</v>
      </c>
      <c r="BL84" s="553">
        <f>BL79/(BL80-BL81)</f>
        <v>8</v>
      </c>
      <c r="BM84" s="554">
        <f>BM79/(BM80-BM81)</f>
        <v>12</v>
      </c>
      <c r="BN84" s="604"/>
      <c r="BO84" s="539" t="s">
        <v>8</v>
      </c>
      <c r="BP84" s="553">
        <f>BP79/(BP80-BP81)</f>
        <v>9</v>
      </c>
      <c r="BQ84" s="554">
        <f>BQ79/(BQ80-BQ81)</f>
        <v>6</v>
      </c>
      <c r="BR84" s="558">
        <f>BR79/(BR80-BR81)</f>
        <v>2.5</v>
      </c>
      <c r="BS84" s="558">
        <f>BS79/(BS80-BS81)</f>
        <v>7.5</v>
      </c>
      <c r="BT84" s="559">
        <f>BT79/(BT80-BT81)</f>
        <v>6.25</v>
      </c>
      <c r="BU84" s="607"/>
      <c r="BV84" s="559">
        <f>BV79/(BV80-BV81)</f>
        <v>6.166666666666667</v>
      </c>
      <c r="BW84" s="558">
        <f>BW79/(BW80-BW81)</f>
        <v>10</v>
      </c>
      <c r="BX84" s="558">
        <v>0</v>
      </c>
      <c r="BY84" s="558">
        <v>0</v>
      </c>
      <c r="BZ84" s="660">
        <v>0</v>
      </c>
      <c r="CA84" s="604"/>
      <c r="CB84" s="539" t="s">
        <v>8</v>
      </c>
      <c r="CC84" s="558">
        <f>CC79/(CC80-CC81)</f>
        <v>6</v>
      </c>
      <c r="CD84" s="558">
        <f>CD79/(CD80-CD81)</f>
        <v>6</v>
      </c>
      <c r="CE84" s="558">
        <f>CE79/(CE80-CE81)</f>
        <v>8.5</v>
      </c>
      <c r="CF84" s="558">
        <f>CF79/(CF80-CF81)</f>
        <v>7.5</v>
      </c>
      <c r="CG84" s="559">
        <f>CG79/(CG80-CG81)</f>
        <v>7.1428571428571432</v>
      </c>
      <c r="CH84" s="607"/>
      <c r="CI84" s="559">
        <f>CI79/(CI80-CI81)</f>
        <v>5.8</v>
      </c>
      <c r="CJ84" s="558">
        <f>CJ79/(CJ80-CJ81)</f>
        <v>3</v>
      </c>
      <c r="CK84" s="553">
        <f>CK79/(CK80-CK81)</f>
        <v>6.5</v>
      </c>
      <c r="CL84" s="553">
        <f>CL79/(CL80-CL81)</f>
        <v>10</v>
      </c>
      <c r="CM84" s="671">
        <v>0</v>
      </c>
      <c r="CN84" s="605"/>
    </row>
    <row r="85" spans="1:92" ht="15">
      <c r="A85" s="261"/>
      <c r="B85" s="50"/>
      <c r="C85" s="34"/>
      <c r="D85" s="34"/>
      <c r="E85" s="34"/>
      <c r="F85" s="34"/>
      <c r="G85" s="250"/>
      <c r="H85" s="248"/>
      <c r="I85" s="248"/>
      <c r="J85" s="248"/>
      <c r="K85" s="248"/>
      <c r="L85" s="248"/>
      <c r="M85" s="248"/>
      <c r="N85" s="248"/>
      <c r="O85" s="50"/>
      <c r="P85" s="34"/>
      <c r="Q85" s="34"/>
      <c r="R85" s="34"/>
      <c r="S85" s="34"/>
      <c r="T85" s="248"/>
      <c r="U85" s="248"/>
      <c r="V85" s="248"/>
      <c r="W85" s="248"/>
      <c r="X85" s="248"/>
      <c r="Y85" s="248"/>
      <c r="Z85" s="248"/>
      <c r="AA85" s="248"/>
      <c r="AB85" s="248"/>
      <c r="AC85" s="248"/>
      <c r="AD85" s="248"/>
      <c r="AE85" s="248"/>
      <c r="AF85" s="248"/>
      <c r="AG85" s="248"/>
      <c r="AH85" s="248"/>
      <c r="AI85" s="248"/>
      <c r="AJ85" s="248"/>
      <c r="AK85" s="248"/>
      <c r="AL85" s="248"/>
      <c r="AM85" s="248"/>
      <c r="AN85" s="248"/>
      <c r="AO85" s="248"/>
      <c r="AP85" s="248"/>
      <c r="AQ85" s="248"/>
      <c r="AR85" s="248"/>
      <c r="AS85" s="248"/>
      <c r="AT85" s="248"/>
      <c r="AU85" s="248"/>
      <c r="AV85" s="248"/>
      <c r="AW85" s="248"/>
      <c r="AX85" s="248"/>
      <c r="AY85" s="248"/>
      <c r="AZ85" s="248"/>
      <c r="BA85" s="249"/>
      <c r="BB85" s="604"/>
      <c r="BC85" s="604"/>
      <c r="BD85" s="604"/>
      <c r="BE85" s="604"/>
      <c r="BF85" s="604"/>
      <c r="BG85" s="604"/>
      <c r="BH85" s="604"/>
      <c r="BI85" s="604"/>
      <c r="BJ85" s="604"/>
      <c r="BK85" s="604"/>
      <c r="BL85" s="604"/>
      <c r="BM85" s="604"/>
      <c r="BN85" s="605"/>
      <c r="BO85" s="604"/>
      <c r="BP85" s="604"/>
      <c r="BQ85" s="604"/>
      <c r="BR85" s="604"/>
      <c r="BS85" s="604"/>
      <c r="BT85" s="604"/>
      <c r="BU85" s="604"/>
      <c r="BV85" s="604"/>
      <c r="BW85" s="604"/>
      <c r="BX85" s="604"/>
      <c r="BY85" s="604"/>
      <c r="BZ85" s="604"/>
      <c r="CA85" s="605"/>
      <c r="CB85" s="604"/>
      <c r="CC85" s="604"/>
      <c r="CD85" s="604"/>
      <c r="CE85" s="604"/>
      <c r="CF85" s="604"/>
      <c r="CG85" s="604"/>
      <c r="CH85" s="604"/>
      <c r="CI85" s="604"/>
      <c r="CJ85" s="604"/>
      <c r="CK85" s="604"/>
      <c r="CL85" s="604"/>
      <c r="CM85" s="604"/>
      <c r="CN85" s="605"/>
    </row>
    <row r="86" spans="1:92" s="517" customFormat="1">
      <c r="A86" s="1537" t="s">
        <v>143</v>
      </c>
      <c r="B86" s="607"/>
      <c r="C86" s="1536" t="s">
        <v>143</v>
      </c>
      <c r="D86" s="1536"/>
      <c r="E86" s="1536"/>
      <c r="F86" s="1536"/>
      <c r="G86" s="607"/>
      <c r="H86" s="607"/>
      <c r="I86" s="607"/>
      <c r="J86" s="1535" t="s">
        <v>117</v>
      </c>
      <c r="K86" s="1535"/>
      <c r="L86" s="1535"/>
      <c r="M86" s="1535"/>
      <c r="N86" s="604"/>
      <c r="O86" s="607"/>
      <c r="P86" s="1536" t="s">
        <v>143</v>
      </c>
      <c r="Q86" s="1536"/>
      <c r="R86" s="1536"/>
      <c r="S86" s="1536"/>
      <c r="T86" s="607"/>
      <c r="U86" s="607"/>
      <c r="V86" s="607"/>
      <c r="W86" s="1535" t="s">
        <v>103</v>
      </c>
      <c r="X86" s="1535"/>
      <c r="Y86" s="1535"/>
      <c r="Z86" s="1535"/>
      <c r="AA86" s="604"/>
      <c r="AB86" s="607"/>
      <c r="AC86" s="1535" t="s">
        <v>143</v>
      </c>
      <c r="AD86" s="1535"/>
      <c r="AE86" s="1535"/>
      <c r="AF86" s="1535"/>
      <c r="AG86" s="607"/>
      <c r="AH86" s="607"/>
      <c r="AI86" s="607"/>
      <c r="AJ86" s="1536" t="s">
        <v>97</v>
      </c>
      <c r="AK86" s="1536"/>
      <c r="AL86" s="1536"/>
      <c r="AM86" s="1536"/>
      <c r="AN86" s="604"/>
      <c r="AO86" s="607"/>
      <c r="AP86" s="1536" t="s">
        <v>143</v>
      </c>
      <c r="AQ86" s="1536"/>
      <c r="AR86" s="1536"/>
      <c r="AS86" s="1536"/>
      <c r="AT86" s="607"/>
      <c r="AU86" s="607"/>
      <c r="AV86" s="607"/>
      <c r="AW86" s="1535" t="s">
        <v>130</v>
      </c>
      <c r="AX86" s="1535"/>
      <c r="AY86" s="1535"/>
      <c r="AZ86" s="1535"/>
      <c r="BA86" s="605"/>
      <c r="BB86" s="604"/>
      <c r="BC86" s="604"/>
      <c r="BD86" s="604"/>
      <c r="BE86" s="604"/>
      <c r="BF86" s="604"/>
      <c r="BG86" s="604"/>
      <c r="BH86" s="604"/>
      <c r="BI86" s="604"/>
      <c r="BJ86" s="604"/>
      <c r="BK86" s="604"/>
      <c r="BL86" s="604"/>
      <c r="BM86" s="604"/>
      <c r="BN86" s="605"/>
      <c r="BO86" s="607"/>
      <c r="BP86" s="1535" t="s">
        <v>143</v>
      </c>
      <c r="BQ86" s="1535"/>
      <c r="BR86" s="1535"/>
      <c r="BS86" s="1535"/>
      <c r="BT86" s="607"/>
      <c r="BU86" s="607"/>
      <c r="BV86" s="607"/>
      <c r="BW86" s="1536" t="s">
        <v>105</v>
      </c>
      <c r="BX86" s="1536"/>
      <c r="BY86" s="1536"/>
      <c r="BZ86" s="1536"/>
      <c r="CA86" s="604"/>
      <c r="CB86" s="607"/>
      <c r="CC86" s="1536" t="s">
        <v>143</v>
      </c>
      <c r="CD86" s="1536"/>
      <c r="CE86" s="1536"/>
      <c r="CF86" s="1536"/>
      <c r="CG86" s="607"/>
      <c r="CH86" s="607"/>
      <c r="CI86" s="607"/>
      <c r="CJ86" s="1535" t="s">
        <v>112</v>
      </c>
      <c r="CK86" s="1535"/>
      <c r="CL86" s="1535"/>
      <c r="CM86" s="1535"/>
      <c r="CN86" s="605"/>
    </row>
    <row r="87" spans="1:92" s="517" customFormat="1" ht="15">
      <c r="A87" s="1537"/>
      <c r="B87" s="522"/>
      <c r="C87" s="560">
        <v>1</v>
      </c>
      <c r="D87" s="561">
        <v>2</v>
      </c>
      <c r="E87" s="562">
        <v>3</v>
      </c>
      <c r="F87" s="566">
        <v>4</v>
      </c>
      <c r="G87" s="523">
        <f>IF(COUNTIF(G89:G99,"&gt;37")=0,0,COUNTIF(G89:G99,"&gt;37")-1)</f>
        <v>5</v>
      </c>
      <c r="H87" s="607"/>
      <c r="I87" s="523">
        <f>IF(COUNTIF(I89:I99,"&gt;37")=0,0,COUNTIF(I89:I99,"&gt;37")-1)</f>
        <v>2</v>
      </c>
      <c r="J87" s="568">
        <v>1</v>
      </c>
      <c r="K87" s="569">
        <v>2</v>
      </c>
      <c r="L87" s="570">
        <v>3</v>
      </c>
      <c r="M87" s="603">
        <v>4</v>
      </c>
      <c r="N87" s="604"/>
      <c r="O87" s="522"/>
      <c r="P87" s="560">
        <v>1</v>
      </c>
      <c r="Q87" s="561">
        <v>2</v>
      </c>
      <c r="R87" s="562">
        <v>3</v>
      </c>
      <c r="S87" s="566">
        <v>4</v>
      </c>
      <c r="T87" s="523">
        <f>IF(COUNTIF(T89:T99,"&gt;37")=0,0,COUNTIF(T89:T99,"&gt;37")-1)</f>
        <v>2</v>
      </c>
      <c r="U87" s="607"/>
      <c r="V87" s="486">
        <v>0</v>
      </c>
      <c r="W87" s="568">
        <v>1</v>
      </c>
      <c r="X87" s="569">
        <v>2</v>
      </c>
      <c r="Y87" s="570">
        <v>3</v>
      </c>
      <c r="Z87" s="603">
        <v>4</v>
      </c>
      <c r="AA87" s="604"/>
      <c r="AB87" s="522"/>
      <c r="AC87" s="568">
        <v>1</v>
      </c>
      <c r="AD87" s="569">
        <v>2</v>
      </c>
      <c r="AE87" s="570">
        <v>3</v>
      </c>
      <c r="AF87" s="603">
        <v>4</v>
      </c>
      <c r="AG87" s="523">
        <f>IF(COUNTIF(AG89:AG99,"&gt;37")=0,0,COUNTIF(AG89:AG99,"&gt;37")-1)</f>
        <v>0</v>
      </c>
      <c r="AH87" s="607"/>
      <c r="AI87" s="523">
        <f>IF(COUNTIF(AI89:AI99,"&gt;37")=0,0,COUNTIF(AI89:AI99,"&gt;37")-1)</f>
        <v>2</v>
      </c>
      <c r="AJ87" s="560">
        <v>1</v>
      </c>
      <c r="AK87" s="561">
        <v>2</v>
      </c>
      <c r="AL87" s="562">
        <v>3</v>
      </c>
      <c r="AM87" s="566">
        <v>4</v>
      </c>
      <c r="AN87" s="604"/>
      <c r="AO87" s="522"/>
      <c r="AP87" s="560">
        <v>1</v>
      </c>
      <c r="AQ87" s="561">
        <v>2</v>
      </c>
      <c r="AR87" s="562">
        <v>3</v>
      </c>
      <c r="AS87" s="566">
        <v>4</v>
      </c>
      <c r="AT87" s="523">
        <f>IF(COUNTIF(AT89:AT99,"&gt;37")=0,0,COUNTIF(AT89:AT99,"&gt;37")-1)</f>
        <v>1</v>
      </c>
      <c r="AU87" s="607"/>
      <c r="AV87" s="486">
        <v>1</v>
      </c>
      <c r="AW87" s="568">
        <v>1</v>
      </c>
      <c r="AX87" s="569">
        <v>2</v>
      </c>
      <c r="AY87" s="570">
        <v>3</v>
      </c>
      <c r="AZ87" s="603">
        <v>4</v>
      </c>
      <c r="BA87" s="618"/>
      <c r="BB87" s="529"/>
      <c r="BC87" s="520"/>
      <c r="BD87" s="518"/>
      <c r="BE87" s="518"/>
      <c r="BF87" s="518"/>
      <c r="BG87" s="612"/>
      <c r="BH87" s="604"/>
      <c r="BI87" s="520"/>
      <c r="BJ87" s="521"/>
      <c r="BK87" s="521"/>
      <c r="BL87" s="521"/>
      <c r="BM87" s="521"/>
      <c r="BN87" s="618"/>
      <c r="BO87" s="522"/>
      <c r="BP87" s="568">
        <v>1</v>
      </c>
      <c r="BQ87" s="569">
        <v>2</v>
      </c>
      <c r="BR87" s="570">
        <v>3</v>
      </c>
      <c r="BS87" s="603">
        <v>4</v>
      </c>
      <c r="BT87" s="523">
        <f>IF(COUNTIF(BT89:BT99,"&gt;37")=0,0,COUNTIF(BT89:BT99,"&gt;37")-1)</f>
        <v>0</v>
      </c>
      <c r="BU87" s="607"/>
      <c r="BV87" s="523">
        <f>IF(COUNTIF(BV89:BV99,"&gt;37")=0,0,COUNTIF(BV89:BV99,"&gt;37")-1)</f>
        <v>2</v>
      </c>
      <c r="BW87" s="560">
        <v>1</v>
      </c>
      <c r="BX87" s="561">
        <v>2</v>
      </c>
      <c r="BY87" s="562">
        <v>3</v>
      </c>
      <c r="BZ87" s="566">
        <v>4</v>
      </c>
      <c r="CA87" s="604"/>
      <c r="CB87" s="522"/>
      <c r="CC87" s="560">
        <v>1</v>
      </c>
      <c r="CD87" s="561">
        <v>2</v>
      </c>
      <c r="CE87" s="562">
        <v>3</v>
      </c>
      <c r="CF87" s="566">
        <v>4</v>
      </c>
      <c r="CG87" s="523">
        <f>IF(COUNTIF(CG89:CG100,"&gt;37")=0,0,COUNTIF(CG89:CG100,"&gt;37")-1)</f>
        <v>6</v>
      </c>
      <c r="CH87" s="607"/>
      <c r="CI87" s="523">
        <f>IF(COUNTIF(CI89:CI100,"&gt;37")=0,0,COUNTIF(CI89:CI100,"&gt;37")-1)</f>
        <v>0</v>
      </c>
      <c r="CJ87" s="568">
        <v>1</v>
      </c>
      <c r="CK87" s="569">
        <v>2</v>
      </c>
      <c r="CL87" s="570">
        <v>3</v>
      </c>
      <c r="CM87" s="603">
        <v>4</v>
      </c>
      <c r="CN87" s="618"/>
    </row>
    <row r="88" spans="1:92" s="517" customFormat="1" ht="57">
      <c r="A88" s="1537"/>
      <c r="B88" s="526"/>
      <c r="C88" s="527" t="s">
        <v>54</v>
      </c>
      <c r="D88" s="527" t="s">
        <v>149</v>
      </c>
      <c r="E88" s="527" t="s">
        <v>115</v>
      </c>
      <c r="F88" s="527" t="s">
        <v>116</v>
      </c>
      <c r="G88" s="528"/>
      <c r="H88" s="610"/>
      <c r="I88" s="611"/>
      <c r="J88" s="571" t="s">
        <v>120</v>
      </c>
      <c r="K88" s="571" t="s">
        <v>121</v>
      </c>
      <c r="L88" s="571" t="s">
        <v>118</v>
      </c>
      <c r="M88" s="571" t="s">
        <v>119</v>
      </c>
      <c r="N88" s="608"/>
      <c r="O88" s="526"/>
      <c r="P88" s="527" t="s">
        <v>54</v>
      </c>
      <c r="Q88" s="527" t="s">
        <v>149</v>
      </c>
      <c r="R88" s="527" t="s">
        <v>115</v>
      </c>
      <c r="S88" s="527" t="s">
        <v>116</v>
      </c>
      <c r="T88" s="528"/>
      <c r="U88" s="610"/>
      <c r="V88" s="611"/>
      <c r="W88" s="571" t="s">
        <v>1</v>
      </c>
      <c r="X88" s="571" t="s">
        <v>104</v>
      </c>
      <c r="Y88" s="571" t="s">
        <v>53</v>
      </c>
      <c r="Z88" s="571" t="s">
        <v>96</v>
      </c>
      <c r="AA88" s="608"/>
      <c r="AB88" s="526"/>
      <c r="AC88" s="592" t="s">
        <v>54</v>
      </c>
      <c r="AD88" s="592" t="s">
        <v>57</v>
      </c>
      <c r="AE88" s="592" t="s">
        <v>115</v>
      </c>
      <c r="AF88" s="592" t="s">
        <v>116</v>
      </c>
      <c r="AG88" s="528"/>
      <c r="AH88" s="610"/>
      <c r="AI88" s="611"/>
      <c r="AJ88" s="475" t="s">
        <v>1</v>
      </c>
      <c r="AK88" s="475" t="s">
        <v>53</v>
      </c>
      <c r="AL88" s="475" t="s">
        <v>0</v>
      </c>
      <c r="AM88" s="475" t="s">
        <v>56</v>
      </c>
      <c r="AN88" s="608"/>
      <c r="AO88" s="526"/>
      <c r="AP88" s="527" t="s">
        <v>54</v>
      </c>
      <c r="AQ88" s="527" t="s">
        <v>57</v>
      </c>
      <c r="AR88" s="527" t="s">
        <v>115</v>
      </c>
      <c r="AS88" s="527" t="s">
        <v>116</v>
      </c>
      <c r="AT88" s="528"/>
      <c r="AU88" s="610"/>
      <c r="AV88" s="611"/>
      <c r="AW88" s="571" t="s">
        <v>99</v>
      </c>
      <c r="AX88" s="571" t="s">
        <v>113</v>
      </c>
      <c r="AY88" s="571" t="s">
        <v>100</v>
      </c>
      <c r="AZ88" s="571" t="s">
        <v>102</v>
      </c>
      <c r="BA88" s="605"/>
      <c r="BB88" s="529"/>
      <c r="BC88" s="518"/>
      <c r="BD88" s="520"/>
      <c r="BE88" s="520"/>
      <c r="BF88" s="518"/>
      <c r="BG88" s="612"/>
      <c r="BH88" s="608"/>
      <c r="BI88" s="608"/>
      <c r="BJ88" s="525"/>
      <c r="BK88" s="609"/>
      <c r="BL88" s="609"/>
      <c r="BM88" s="524"/>
      <c r="BN88" s="605"/>
      <c r="BO88" s="526"/>
      <c r="BP88" s="571" t="s">
        <v>54</v>
      </c>
      <c r="BQ88" s="571" t="s">
        <v>149</v>
      </c>
      <c r="BR88" s="571" t="s">
        <v>115</v>
      </c>
      <c r="BS88" s="571" t="s">
        <v>116</v>
      </c>
      <c r="BT88" s="528"/>
      <c r="BU88" s="610"/>
      <c r="BV88" s="611"/>
      <c r="BW88" s="527" t="s">
        <v>148</v>
      </c>
      <c r="BX88" s="527" t="s">
        <v>107</v>
      </c>
      <c r="BY88" s="527" t="s">
        <v>55</v>
      </c>
      <c r="BZ88" s="527" t="s">
        <v>108</v>
      </c>
      <c r="CA88" s="608"/>
      <c r="CB88" s="526"/>
      <c r="CC88" s="527" t="s">
        <v>54</v>
      </c>
      <c r="CD88" s="527" t="s">
        <v>57</v>
      </c>
      <c r="CE88" s="527" t="s">
        <v>115</v>
      </c>
      <c r="CF88" s="527" t="s">
        <v>116</v>
      </c>
      <c r="CG88" s="528"/>
      <c r="CH88" s="610"/>
      <c r="CI88" s="611"/>
      <c r="CJ88" s="571" t="s">
        <v>150</v>
      </c>
      <c r="CK88" s="571" t="s">
        <v>111</v>
      </c>
      <c r="CL88" s="571" t="s">
        <v>151</v>
      </c>
      <c r="CM88" s="571" t="s">
        <v>57</v>
      </c>
      <c r="CN88" s="605"/>
    </row>
    <row r="89" spans="1:92" s="517" customFormat="1" ht="15">
      <c r="A89" s="1537"/>
      <c r="B89" s="530">
        <v>1</v>
      </c>
      <c r="C89" s="531">
        <v>12</v>
      </c>
      <c r="D89" s="532"/>
      <c r="E89" s="532"/>
      <c r="F89" s="600"/>
      <c r="G89" s="613">
        <f>SUM(C$89:F89)</f>
        <v>12</v>
      </c>
      <c r="H89" s="614">
        <f>G89-I89</f>
        <v>10</v>
      </c>
      <c r="I89" s="615">
        <f>SUM(J$89:M89)</f>
        <v>2</v>
      </c>
      <c r="J89" s="531">
        <v>2</v>
      </c>
      <c r="K89" s="532"/>
      <c r="L89" s="532"/>
      <c r="M89" s="600"/>
      <c r="N89" s="604"/>
      <c r="O89" s="530">
        <v>1</v>
      </c>
      <c r="P89" s="531">
        <v>12</v>
      </c>
      <c r="Q89" s="532"/>
      <c r="R89" s="532"/>
      <c r="S89" s="600"/>
      <c r="T89" s="613">
        <f>SUM(P$89:S89)</f>
        <v>12</v>
      </c>
      <c r="U89" s="614">
        <f>T89-V89</f>
        <v>7</v>
      </c>
      <c r="V89" s="615">
        <f>SUM(W$89:Z89)</f>
        <v>5</v>
      </c>
      <c r="W89" s="531">
        <v>5</v>
      </c>
      <c r="X89" s="532"/>
      <c r="Y89" s="532"/>
      <c r="Z89" s="600"/>
      <c r="AA89" s="604"/>
      <c r="AB89" s="530">
        <v>1</v>
      </c>
      <c r="AC89" s="531">
        <v>9</v>
      </c>
      <c r="AD89" s="532"/>
      <c r="AE89" s="532"/>
      <c r="AF89" s="563"/>
      <c r="AG89" s="613">
        <f>SUM(AC$89:AF89)</f>
        <v>9</v>
      </c>
      <c r="AH89" s="614">
        <f>AG89-AI89</f>
        <v>2</v>
      </c>
      <c r="AI89" s="615">
        <f>SUM(AJ$89:AM89)</f>
        <v>7</v>
      </c>
      <c r="AJ89" s="531">
        <v>7</v>
      </c>
      <c r="AK89" s="532"/>
      <c r="AL89" s="532"/>
      <c r="AM89" s="477"/>
      <c r="AN89" s="604"/>
      <c r="AO89" s="530">
        <v>1</v>
      </c>
      <c r="AP89" s="531">
        <v>12</v>
      </c>
      <c r="AQ89" s="532"/>
      <c r="AR89" s="532"/>
      <c r="AS89" s="600"/>
      <c r="AT89" s="613">
        <f>SUM(AP$89:AS89)</f>
        <v>12</v>
      </c>
      <c r="AU89" s="614">
        <f>AT89-AV89</f>
        <v>5</v>
      </c>
      <c r="AV89" s="615">
        <f>SUM(AW$89:AZ89)</f>
        <v>7</v>
      </c>
      <c r="AW89" s="531">
        <v>7</v>
      </c>
      <c r="AX89" s="532"/>
      <c r="AY89" s="532"/>
      <c r="AZ89" s="600"/>
      <c r="BA89" s="605"/>
      <c r="BB89" s="529"/>
      <c r="BC89" s="520"/>
      <c r="BD89" s="518"/>
      <c r="BE89" s="518"/>
      <c r="BF89" s="518"/>
      <c r="BG89" s="612"/>
      <c r="BH89" s="604"/>
      <c r="BI89" s="612"/>
      <c r="BJ89" s="520"/>
      <c r="BK89" s="518"/>
      <c r="BL89" s="518"/>
      <c r="BM89" s="518"/>
      <c r="BN89" s="605"/>
      <c r="BO89" s="530">
        <v>1</v>
      </c>
      <c r="BP89" s="531">
        <v>11</v>
      </c>
      <c r="BQ89" s="532"/>
      <c r="BR89" s="532"/>
      <c r="BS89" s="600"/>
      <c r="BT89" s="613">
        <f>SUM(BP$89:BS89)</f>
        <v>11</v>
      </c>
      <c r="BU89" s="614">
        <f>BT89-BV89</f>
        <v>11</v>
      </c>
      <c r="BV89" s="615">
        <f>SUM(BW$89:BZ89)</f>
        <v>0</v>
      </c>
      <c r="BW89" s="531" t="s">
        <v>2</v>
      </c>
      <c r="BX89" s="532"/>
      <c r="BY89" s="532"/>
      <c r="BZ89" s="600"/>
      <c r="CA89" s="604"/>
      <c r="CB89" s="530">
        <v>1</v>
      </c>
      <c r="CC89" s="531">
        <v>12</v>
      </c>
      <c r="CD89" s="532"/>
      <c r="CE89" s="532"/>
      <c r="CF89" s="600"/>
      <c r="CG89" s="613">
        <f>SUM(CC$89:CF89)</f>
        <v>12</v>
      </c>
      <c r="CH89" s="614">
        <f>CG89-CI89</f>
        <v>7</v>
      </c>
      <c r="CI89" s="615">
        <f>SUM(CJ$89:CM89)</f>
        <v>5</v>
      </c>
      <c r="CJ89" s="531">
        <v>5</v>
      </c>
      <c r="CK89" s="532"/>
      <c r="CL89" s="532"/>
      <c r="CM89" s="600"/>
      <c r="CN89" s="605"/>
    </row>
    <row r="90" spans="1:92" s="517" customFormat="1" ht="15">
      <c r="A90" s="1537"/>
      <c r="B90" s="533">
        <v>2</v>
      </c>
      <c r="C90" s="532"/>
      <c r="D90" s="531">
        <v>1</v>
      </c>
      <c r="E90" s="532"/>
      <c r="F90" s="532"/>
      <c r="G90" s="613">
        <f>SUM(C$89:F90)</f>
        <v>13</v>
      </c>
      <c r="H90" s="614">
        <f t="shared" ref="H90:H97" si="25">G90-I90</f>
        <v>0</v>
      </c>
      <c r="I90" s="615">
        <f>SUM(J$89:M90)</f>
        <v>13</v>
      </c>
      <c r="J90" s="532"/>
      <c r="K90" s="531">
        <v>11</v>
      </c>
      <c r="L90" s="532"/>
      <c r="M90" s="532"/>
      <c r="N90" s="604"/>
      <c r="O90" s="533">
        <v>2</v>
      </c>
      <c r="P90" s="532"/>
      <c r="Q90" s="531">
        <v>5</v>
      </c>
      <c r="R90" s="532"/>
      <c r="S90" s="532"/>
      <c r="T90" s="613">
        <f>SUM(P$89:S90)</f>
        <v>17</v>
      </c>
      <c r="U90" s="614">
        <f t="shared" ref="U90:U97" si="26">T90-V90</f>
        <v>6</v>
      </c>
      <c r="V90" s="615">
        <f>SUM(W$89:Z90)</f>
        <v>11</v>
      </c>
      <c r="W90" s="532"/>
      <c r="X90" s="531">
        <v>6</v>
      </c>
      <c r="Y90" s="532"/>
      <c r="Z90" s="532"/>
      <c r="AA90" s="604"/>
      <c r="AB90" s="533">
        <v>2</v>
      </c>
      <c r="AC90" s="532"/>
      <c r="AD90" s="531">
        <v>6</v>
      </c>
      <c r="AE90" s="532"/>
      <c r="AF90" s="532"/>
      <c r="AG90" s="613">
        <f>SUM(AC$89:AF90)</f>
        <v>15</v>
      </c>
      <c r="AH90" s="614">
        <f t="shared" ref="AH90:AH97" si="27">AG90-AI90</f>
        <v>2</v>
      </c>
      <c r="AI90" s="615">
        <f>SUM(AJ$89:AM90)</f>
        <v>13</v>
      </c>
      <c r="AJ90" s="532"/>
      <c r="AK90" s="531">
        <v>6</v>
      </c>
      <c r="AL90" s="532"/>
      <c r="AM90" s="532"/>
      <c r="AN90" s="604"/>
      <c r="AO90" s="533">
        <v>2</v>
      </c>
      <c r="AP90" s="532"/>
      <c r="AQ90" s="531">
        <v>6</v>
      </c>
      <c r="AR90" s="532"/>
      <c r="AS90" s="532"/>
      <c r="AT90" s="613">
        <f>SUM(AP$89:AS90)</f>
        <v>18</v>
      </c>
      <c r="AU90" s="614">
        <f t="shared" ref="AU90:AU97" si="28">AT90-AV90</f>
        <v>4</v>
      </c>
      <c r="AV90" s="615">
        <f>SUM(AW$89:AZ90)</f>
        <v>14</v>
      </c>
      <c r="AW90" s="532"/>
      <c r="AX90" s="531">
        <v>7</v>
      </c>
      <c r="AY90" s="532"/>
      <c r="AZ90" s="532"/>
      <c r="BA90" s="605"/>
      <c r="BB90" s="529"/>
      <c r="BC90" s="518"/>
      <c r="BD90" s="520"/>
      <c r="BE90" s="520"/>
      <c r="BF90" s="518"/>
      <c r="BG90" s="612"/>
      <c r="BH90" s="604"/>
      <c r="BI90" s="612"/>
      <c r="BJ90" s="518"/>
      <c r="BK90" s="520"/>
      <c r="BL90" s="520"/>
      <c r="BM90" s="518"/>
      <c r="BN90" s="605"/>
      <c r="BO90" s="533">
        <v>2</v>
      </c>
      <c r="BP90" s="532"/>
      <c r="BQ90" s="531" t="s">
        <v>2</v>
      </c>
      <c r="BR90" s="532"/>
      <c r="BS90" s="532"/>
      <c r="BT90" s="613">
        <f>SUM(BP$89:BS90)</f>
        <v>11</v>
      </c>
      <c r="BU90" s="614">
        <f t="shared" ref="BU90:BU97" si="29">BT90-BV90</f>
        <v>6</v>
      </c>
      <c r="BV90" s="615">
        <f>SUM(BW$89:BZ90)</f>
        <v>5</v>
      </c>
      <c r="BW90" s="532"/>
      <c r="BX90" s="531">
        <v>5</v>
      </c>
      <c r="BY90" s="532"/>
      <c r="BZ90" s="532"/>
      <c r="CA90" s="604"/>
      <c r="CB90" s="533">
        <v>2</v>
      </c>
      <c r="CC90" s="532"/>
      <c r="CD90" s="531">
        <v>11</v>
      </c>
      <c r="CE90" s="532"/>
      <c r="CF90" s="532"/>
      <c r="CG90" s="613">
        <f>SUM(CC$89:CF90)</f>
        <v>23</v>
      </c>
      <c r="CH90" s="614">
        <f t="shared" ref="CH90:CH99" si="30">CG90-CI90</f>
        <v>16</v>
      </c>
      <c r="CI90" s="615">
        <f>SUM(CJ$89:CM90)</f>
        <v>7</v>
      </c>
      <c r="CJ90" s="532"/>
      <c r="CK90" s="531">
        <v>2</v>
      </c>
      <c r="CL90" s="532"/>
      <c r="CM90" s="532"/>
      <c r="CN90" s="605"/>
    </row>
    <row r="91" spans="1:92" s="517" customFormat="1" ht="15">
      <c r="A91" s="1537"/>
      <c r="B91" s="533">
        <v>3</v>
      </c>
      <c r="C91" s="531"/>
      <c r="D91" s="532"/>
      <c r="E91" s="532">
        <v>8</v>
      </c>
      <c r="F91" s="600"/>
      <c r="G91" s="613">
        <f>SUM(C$89:F91)</f>
        <v>21</v>
      </c>
      <c r="H91" s="614">
        <f t="shared" si="25"/>
        <v>8</v>
      </c>
      <c r="I91" s="615">
        <f>SUM(J$89:M91)</f>
        <v>13</v>
      </c>
      <c r="J91" s="531"/>
      <c r="K91" s="532"/>
      <c r="L91" s="532" t="s">
        <v>2</v>
      </c>
      <c r="M91" s="600"/>
      <c r="N91" s="604"/>
      <c r="O91" s="533">
        <v>3</v>
      </c>
      <c r="P91" s="531"/>
      <c r="Q91" s="532"/>
      <c r="R91" s="532">
        <v>4</v>
      </c>
      <c r="S91" s="600"/>
      <c r="T91" s="613">
        <f>SUM(P$89:S91)</f>
        <v>21</v>
      </c>
      <c r="U91" s="614">
        <f t="shared" si="26"/>
        <v>0</v>
      </c>
      <c r="V91" s="615">
        <f>SUM(W$89:Z91)</f>
        <v>21</v>
      </c>
      <c r="W91" s="531"/>
      <c r="X91" s="532"/>
      <c r="Y91" s="532">
        <v>10</v>
      </c>
      <c r="Z91" s="600"/>
      <c r="AA91" s="604"/>
      <c r="AB91" s="533">
        <v>3</v>
      </c>
      <c r="AC91" s="531"/>
      <c r="AD91" s="532"/>
      <c r="AE91" s="532">
        <v>5</v>
      </c>
      <c r="AF91" s="563"/>
      <c r="AG91" s="613">
        <f>SUM(AC$89:AF91)</f>
        <v>20</v>
      </c>
      <c r="AH91" s="614">
        <f t="shared" si="27"/>
        <v>-2</v>
      </c>
      <c r="AI91" s="615">
        <f>SUM(AJ$89:AM91)</f>
        <v>22</v>
      </c>
      <c r="AJ91" s="531"/>
      <c r="AK91" s="532"/>
      <c r="AL91" s="532">
        <v>9</v>
      </c>
      <c r="AM91" s="563"/>
      <c r="AN91" s="604"/>
      <c r="AO91" s="533">
        <v>3</v>
      </c>
      <c r="AP91" s="531"/>
      <c r="AQ91" s="532"/>
      <c r="AR91" s="532">
        <v>10</v>
      </c>
      <c r="AS91" s="600"/>
      <c r="AT91" s="613">
        <f>SUM(AP$89:AS91)</f>
        <v>28</v>
      </c>
      <c r="AU91" s="614">
        <f t="shared" si="28"/>
        <v>14</v>
      </c>
      <c r="AV91" s="615">
        <f>SUM(AW$89:AZ91)</f>
        <v>14</v>
      </c>
      <c r="AW91" s="531"/>
      <c r="AX91" s="532"/>
      <c r="AY91" s="532" t="s">
        <v>2</v>
      </c>
      <c r="AZ91" s="600"/>
      <c r="BA91" s="605"/>
      <c r="BB91" s="529"/>
      <c r="BC91" s="520"/>
      <c r="BD91" s="518"/>
      <c r="BE91" s="518"/>
      <c r="BF91" s="518"/>
      <c r="BG91" s="612"/>
      <c r="BH91" s="604"/>
      <c r="BI91" s="612"/>
      <c r="BJ91" s="520"/>
      <c r="BK91" s="518"/>
      <c r="BL91" s="518"/>
      <c r="BM91" s="518"/>
      <c r="BN91" s="605"/>
      <c r="BO91" s="533">
        <v>3</v>
      </c>
      <c r="BP91" s="531"/>
      <c r="BQ91" s="532"/>
      <c r="BR91" s="532">
        <v>8</v>
      </c>
      <c r="BS91" s="600"/>
      <c r="BT91" s="613">
        <f>SUM(BP$89:BS91)</f>
        <v>19</v>
      </c>
      <c r="BU91" s="614">
        <f t="shared" si="29"/>
        <v>6</v>
      </c>
      <c r="BV91" s="615">
        <f>SUM(BW$89:BZ91)</f>
        <v>13</v>
      </c>
      <c r="BW91" s="531"/>
      <c r="BX91" s="532"/>
      <c r="BY91" s="532">
        <v>8</v>
      </c>
      <c r="BZ91" s="600"/>
      <c r="CA91" s="604"/>
      <c r="CB91" s="533">
        <v>3</v>
      </c>
      <c r="CC91" s="531"/>
      <c r="CD91" s="532"/>
      <c r="CE91" s="532" t="s">
        <v>2</v>
      </c>
      <c r="CF91" s="600"/>
      <c r="CG91" s="613">
        <f>SUM(CC$89:CF91)</f>
        <v>23</v>
      </c>
      <c r="CH91" s="614">
        <f t="shared" si="30"/>
        <v>16</v>
      </c>
      <c r="CI91" s="615">
        <f>SUM(CJ$89:CM91)</f>
        <v>7</v>
      </c>
      <c r="CJ91" s="531"/>
      <c r="CK91" s="532"/>
      <c r="CL91" s="532" t="s">
        <v>2</v>
      </c>
      <c r="CM91" s="600"/>
      <c r="CN91" s="605"/>
    </row>
    <row r="92" spans="1:92" s="517" customFormat="1" ht="15">
      <c r="A92" s="1537"/>
      <c r="B92" s="530">
        <v>4</v>
      </c>
      <c r="C92" s="532"/>
      <c r="D92" s="531"/>
      <c r="E92" s="532"/>
      <c r="F92" s="532">
        <v>9</v>
      </c>
      <c r="G92" s="613">
        <f>SUM(C$89:F92)</f>
        <v>30</v>
      </c>
      <c r="H92" s="614">
        <f t="shared" si="25"/>
        <v>8</v>
      </c>
      <c r="I92" s="615">
        <f>SUM(J$89:M92)</f>
        <v>22</v>
      </c>
      <c r="J92" s="532"/>
      <c r="K92" s="531"/>
      <c r="L92" s="532"/>
      <c r="M92" s="532">
        <v>9</v>
      </c>
      <c r="N92" s="604"/>
      <c r="O92" s="530">
        <v>4</v>
      </c>
      <c r="P92" s="532"/>
      <c r="Q92" s="531"/>
      <c r="R92" s="532"/>
      <c r="S92" s="532">
        <v>2</v>
      </c>
      <c r="T92" s="613">
        <f>SUM(P$89:S92)</f>
        <v>23</v>
      </c>
      <c r="U92" s="614">
        <f t="shared" si="26"/>
        <v>2</v>
      </c>
      <c r="V92" s="615">
        <f>SUM(W$89:Z92)</f>
        <v>21</v>
      </c>
      <c r="W92" s="532"/>
      <c r="X92" s="531"/>
      <c r="Y92" s="532"/>
      <c r="Z92" s="532" t="s">
        <v>2</v>
      </c>
      <c r="AA92" s="604"/>
      <c r="AB92" s="530">
        <v>4</v>
      </c>
      <c r="AC92" s="532"/>
      <c r="AD92" s="531"/>
      <c r="AE92" s="532"/>
      <c r="AF92" s="532" t="s">
        <v>2</v>
      </c>
      <c r="AG92" s="613">
        <f>SUM(AC$89:AF92)</f>
        <v>20</v>
      </c>
      <c r="AH92" s="614">
        <f t="shared" si="27"/>
        <v>-2</v>
      </c>
      <c r="AI92" s="615">
        <f>SUM(AJ$89:AM92)</f>
        <v>22</v>
      </c>
      <c r="AJ92" s="532"/>
      <c r="AK92" s="531"/>
      <c r="AL92" s="532"/>
      <c r="AM92" s="532" t="s">
        <v>2</v>
      </c>
      <c r="AN92" s="604"/>
      <c r="AO92" s="530">
        <v>4</v>
      </c>
      <c r="AP92" s="532"/>
      <c r="AQ92" s="531"/>
      <c r="AR92" s="532"/>
      <c r="AS92" s="532">
        <v>3</v>
      </c>
      <c r="AT92" s="613">
        <f>SUM(AP$89:AS92)</f>
        <v>31</v>
      </c>
      <c r="AU92" s="614">
        <f t="shared" si="28"/>
        <v>15</v>
      </c>
      <c r="AV92" s="615">
        <f>SUM(AW$89:AZ92)</f>
        <v>16</v>
      </c>
      <c r="AW92" s="532"/>
      <c r="AX92" s="531"/>
      <c r="AY92" s="532"/>
      <c r="AZ92" s="532">
        <v>2</v>
      </c>
      <c r="BA92" s="605"/>
      <c r="BB92" s="529"/>
      <c r="BC92" s="518"/>
      <c r="BD92" s="520"/>
      <c r="BE92" s="520"/>
      <c r="BF92" s="518"/>
      <c r="BG92" s="612"/>
      <c r="BH92" s="604"/>
      <c r="BI92" s="612"/>
      <c r="BJ92" s="518"/>
      <c r="BK92" s="520"/>
      <c r="BL92" s="520"/>
      <c r="BM92" s="518"/>
      <c r="BN92" s="605"/>
      <c r="BO92" s="530">
        <v>4</v>
      </c>
      <c r="BP92" s="532"/>
      <c r="BQ92" s="531"/>
      <c r="BR92" s="532"/>
      <c r="BS92" s="532">
        <v>2</v>
      </c>
      <c r="BT92" s="613">
        <f>SUM(BP$89:BS92)</f>
        <v>21</v>
      </c>
      <c r="BU92" s="614">
        <f t="shared" si="29"/>
        <v>3</v>
      </c>
      <c r="BV92" s="615">
        <f>SUM(BW$89:BZ92)</f>
        <v>18</v>
      </c>
      <c r="BW92" s="532"/>
      <c r="BX92" s="531"/>
      <c r="BY92" s="532"/>
      <c r="BZ92" s="532">
        <v>5</v>
      </c>
      <c r="CA92" s="604"/>
      <c r="CB92" s="530">
        <v>4</v>
      </c>
      <c r="CC92" s="532"/>
      <c r="CD92" s="531"/>
      <c r="CE92" s="532"/>
      <c r="CF92" s="532">
        <v>2</v>
      </c>
      <c r="CG92" s="613">
        <f>SUM(CC$89:CF92)</f>
        <v>25</v>
      </c>
      <c r="CH92" s="614">
        <f t="shared" si="30"/>
        <v>7</v>
      </c>
      <c r="CI92" s="615">
        <f>SUM(CJ$89:CM92)</f>
        <v>18</v>
      </c>
      <c r="CJ92" s="532"/>
      <c r="CK92" s="531"/>
      <c r="CL92" s="532"/>
      <c r="CM92" s="532">
        <v>11</v>
      </c>
      <c r="CN92" s="605"/>
    </row>
    <row r="93" spans="1:92" s="517" customFormat="1" ht="15">
      <c r="A93" s="1537"/>
      <c r="B93" s="533">
        <v>5</v>
      </c>
      <c r="C93" s="531">
        <v>10</v>
      </c>
      <c r="D93" s="532"/>
      <c r="E93" s="532"/>
      <c r="F93" s="600"/>
      <c r="G93" s="613">
        <f>SUM(C$89:F93)</f>
        <v>40</v>
      </c>
      <c r="H93" s="614">
        <f t="shared" si="25"/>
        <v>15</v>
      </c>
      <c r="I93" s="615">
        <f>SUM(J$89:M93)</f>
        <v>25</v>
      </c>
      <c r="J93" s="531">
        <v>3</v>
      </c>
      <c r="K93" s="532"/>
      <c r="L93" s="532"/>
      <c r="M93" s="600"/>
      <c r="N93" s="604"/>
      <c r="O93" s="533">
        <v>5</v>
      </c>
      <c r="P93" s="531">
        <v>6</v>
      </c>
      <c r="Q93" s="532"/>
      <c r="R93" s="532"/>
      <c r="S93" s="600"/>
      <c r="T93" s="613">
        <f>SUM(P$89:S93)</f>
        <v>29</v>
      </c>
      <c r="U93" s="614">
        <f t="shared" si="26"/>
        <v>-2</v>
      </c>
      <c r="V93" s="615">
        <f>SUM(W$89:Z93)</f>
        <v>31</v>
      </c>
      <c r="W93" s="531">
        <v>10</v>
      </c>
      <c r="X93" s="532"/>
      <c r="Y93" s="532"/>
      <c r="Z93" s="600"/>
      <c r="AA93" s="604"/>
      <c r="AB93" s="533">
        <v>5</v>
      </c>
      <c r="AC93" s="531">
        <v>2</v>
      </c>
      <c r="AD93" s="532"/>
      <c r="AE93" s="532"/>
      <c r="AF93" s="563"/>
      <c r="AG93" s="613">
        <f>SUM(AC$89:AF93)</f>
        <v>22</v>
      </c>
      <c r="AH93" s="614">
        <f t="shared" si="27"/>
        <v>-5</v>
      </c>
      <c r="AI93" s="615">
        <f>SUM(AJ$89:AM93)</f>
        <v>27</v>
      </c>
      <c r="AJ93" s="531">
        <v>5</v>
      </c>
      <c r="AK93" s="532"/>
      <c r="AL93" s="532"/>
      <c r="AM93" s="563"/>
      <c r="AN93" s="604"/>
      <c r="AO93" s="533">
        <v>5</v>
      </c>
      <c r="AP93" s="531" t="s">
        <v>2</v>
      </c>
      <c r="AQ93" s="532"/>
      <c r="AR93" s="532"/>
      <c r="AS93" s="600"/>
      <c r="AT93" s="613">
        <f>SUM(AP$89:AS93)</f>
        <v>31</v>
      </c>
      <c r="AU93" s="614">
        <f t="shared" si="28"/>
        <v>7</v>
      </c>
      <c r="AV93" s="615">
        <f>SUM(AW$89:AZ93)</f>
        <v>24</v>
      </c>
      <c r="AW93" s="531">
        <v>8</v>
      </c>
      <c r="AX93" s="532"/>
      <c r="AY93" s="532"/>
      <c r="AZ93" s="600"/>
      <c r="BA93" s="605"/>
      <c r="BB93" s="529"/>
      <c r="BC93" s="520"/>
      <c r="BD93" s="518"/>
      <c r="BE93" s="518"/>
      <c r="BF93" s="518"/>
      <c r="BG93" s="612"/>
      <c r="BH93" s="604"/>
      <c r="BI93" s="612"/>
      <c r="BJ93" s="520"/>
      <c r="BK93" s="518"/>
      <c r="BL93" s="518"/>
      <c r="BM93" s="518"/>
      <c r="BN93" s="605"/>
      <c r="BO93" s="533">
        <v>5</v>
      </c>
      <c r="BP93" s="531">
        <v>10</v>
      </c>
      <c r="BQ93" s="532"/>
      <c r="BR93" s="532"/>
      <c r="BS93" s="600"/>
      <c r="BT93" s="613">
        <f>SUM(BP$89:BS93)</f>
        <v>31</v>
      </c>
      <c r="BU93" s="614">
        <f t="shared" si="29"/>
        <v>3</v>
      </c>
      <c r="BV93" s="615">
        <f>SUM(BW$89:BZ93)</f>
        <v>28</v>
      </c>
      <c r="BW93" s="531">
        <v>10</v>
      </c>
      <c r="BX93" s="532"/>
      <c r="BY93" s="532"/>
      <c r="BZ93" s="600"/>
      <c r="CA93" s="604"/>
      <c r="CB93" s="533">
        <v>5</v>
      </c>
      <c r="CC93" s="531">
        <v>6</v>
      </c>
      <c r="CD93" s="532"/>
      <c r="CE93" s="532"/>
      <c r="CF93" s="600"/>
      <c r="CG93" s="613">
        <f>SUM(CC$89:CF93)</f>
        <v>31</v>
      </c>
      <c r="CH93" s="614">
        <f t="shared" si="30"/>
        <v>13</v>
      </c>
      <c r="CI93" s="615">
        <f>SUM(CJ$89:CM93)</f>
        <v>18</v>
      </c>
      <c r="CJ93" s="531" t="s">
        <v>2</v>
      </c>
      <c r="CK93" s="532"/>
      <c r="CL93" s="532"/>
      <c r="CM93" s="600"/>
      <c r="CN93" s="605"/>
    </row>
    <row r="94" spans="1:92" s="517" customFormat="1" ht="15">
      <c r="A94" s="1537"/>
      <c r="B94" s="530">
        <v>6</v>
      </c>
      <c r="C94" s="531"/>
      <c r="D94" s="532" t="s">
        <v>2</v>
      </c>
      <c r="E94" s="532"/>
      <c r="F94" s="600"/>
      <c r="G94" s="613">
        <f>SUM(C$89:F94)</f>
        <v>40</v>
      </c>
      <c r="H94" s="614">
        <f>G94-I94</f>
        <v>5</v>
      </c>
      <c r="I94" s="615">
        <f>SUM(J$89:M94)</f>
        <v>35</v>
      </c>
      <c r="J94" s="531"/>
      <c r="K94" s="532">
        <v>10</v>
      </c>
      <c r="L94" s="532"/>
      <c r="M94" s="600"/>
      <c r="N94" s="604"/>
      <c r="O94" s="530">
        <v>6</v>
      </c>
      <c r="P94" s="531"/>
      <c r="Q94" s="532">
        <v>5</v>
      </c>
      <c r="R94" s="532"/>
      <c r="S94" s="600"/>
      <c r="T94" s="613">
        <f>SUM(P$89:S94)</f>
        <v>34</v>
      </c>
      <c r="U94" s="614">
        <f>T94-V94</f>
        <v>3</v>
      </c>
      <c r="V94" s="615">
        <f>SUM(W$89:Z94)</f>
        <v>31</v>
      </c>
      <c r="W94" s="531"/>
      <c r="X94" s="532" t="s">
        <v>2</v>
      </c>
      <c r="Y94" s="532"/>
      <c r="Z94" s="600"/>
      <c r="AA94" s="604"/>
      <c r="AB94" s="530">
        <v>6</v>
      </c>
      <c r="AC94" s="532"/>
      <c r="AD94" s="531">
        <v>3</v>
      </c>
      <c r="AE94" s="532"/>
      <c r="AF94" s="532"/>
      <c r="AG94" s="613">
        <f>SUM(AC$89:AF94)</f>
        <v>25</v>
      </c>
      <c r="AH94" s="614">
        <f>AG94-AI94</f>
        <v>-2</v>
      </c>
      <c r="AI94" s="615">
        <f>SUM(AJ$89:AM94)</f>
        <v>27</v>
      </c>
      <c r="AJ94" s="532"/>
      <c r="AK94" s="531" t="s">
        <v>2</v>
      </c>
      <c r="AL94" s="532"/>
      <c r="AM94" s="532"/>
      <c r="AN94" s="604"/>
      <c r="AO94" s="530">
        <v>6</v>
      </c>
      <c r="AP94" s="531"/>
      <c r="AQ94" s="532">
        <v>2</v>
      </c>
      <c r="AR94" s="532"/>
      <c r="AS94" s="600"/>
      <c r="AT94" s="613">
        <f>SUM(AP$89:AS94)</f>
        <v>33</v>
      </c>
      <c r="AU94" s="614">
        <f>AT94-AV94</f>
        <v>9</v>
      </c>
      <c r="AV94" s="615">
        <f>SUM(AW$89:AZ94)</f>
        <v>24</v>
      </c>
      <c r="AW94" s="531"/>
      <c r="AX94" s="532" t="s">
        <v>2</v>
      </c>
      <c r="AY94" s="532"/>
      <c r="AZ94" s="600"/>
      <c r="BA94" s="605"/>
      <c r="BB94" s="529"/>
      <c r="BC94" s="518"/>
      <c r="BD94" s="520"/>
      <c r="BE94" s="520"/>
      <c r="BF94" s="518"/>
      <c r="BG94" s="612"/>
      <c r="BH94" s="604"/>
      <c r="BI94" s="612"/>
      <c r="BJ94" s="518"/>
      <c r="BK94" s="520"/>
      <c r="BL94" s="520"/>
      <c r="BM94" s="518"/>
      <c r="BN94" s="605"/>
      <c r="BO94" s="530">
        <v>6</v>
      </c>
      <c r="BP94" s="531"/>
      <c r="BQ94" s="532" t="s">
        <v>2</v>
      </c>
      <c r="BR94" s="532"/>
      <c r="BS94" s="600"/>
      <c r="BT94" s="613">
        <f>SUM(BP$89:BS94)</f>
        <v>31</v>
      </c>
      <c r="BU94" s="614">
        <f>BT94-BV94</f>
        <v>1</v>
      </c>
      <c r="BV94" s="615">
        <f>SUM(BW$89:BZ94)</f>
        <v>30</v>
      </c>
      <c r="BW94" s="531"/>
      <c r="BX94" s="532">
        <v>2</v>
      </c>
      <c r="BY94" s="532"/>
      <c r="BZ94" s="600"/>
      <c r="CA94" s="604"/>
      <c r="CB94" s="530">
        <v>6</v>
      </c>
      <c r="CC94" s="531"/>
      <c r="CD94" s="532">
        <v>11</v>
      </c>
      <c r="CE94" s="532"/>
      <c r="CF94" s="600"/>
      <c r="CG94" s="613">
        <f>SUM(CC$89:CF94)</f>
        <v>42</v>
      </c>
      <c r="CH94" s="614">
        <f>CG94-CI94</f>
        <v>24</v>
      </c>
      <c r="CI94" s="615">
        <f>SUM(CJ$89:CM94)</f>
        <v>18</v>
      </c>
      <c r="CJ94" s="531"/>
      <c r="CK94" s="532" t="s">
        <v>2</v>
      </c>
      <c r="CL94" s="532"/>
      <c r="CM94" s="600"/>
      <c r="CN94" s="605"/>
    </row>
    <row r="95" spans="1:92" s="517" customFormat="1" ht="15">
      <c r="A95" s="1537"/>
      <c r="B95" s="533">
        <v>7</v>
      </c>
      <c r="C95" s="532"/>
      <c r="D95" s="531"/>
      <c r="E95" s="532" t="s">
        <v>2</v>
      </c>
      <c r="F95" s="532"/>
      <c r="G95" s="613">
        <f>SUM(C$89:F95)</f>
        <v>40</v>
      </c>
      <c r="H95" s="614">
        <f t="shared" si="25"/>
        <v>3</v>
      </c>
      <c r="I95" s="615">
        <f>SUM(J$89:M95)</f>
        <v>37</v>
      </c>
      <c r="J95" s="532"/>
      <c r="K95" s="531"/>
      <c r="L95" s="532">
        <v>2</v>
      </c>
      <c r="M95" s="532"/>
      <c r="N95" s="604"/>
      <c r="O95" s="533">
        <v>7</v>
      </c>
      <c r="P95" s="532"/>
      <c r="Q95" s="531"/>
      <c r="R95" s="532">
        <v>4</v>
      </c>
      <c r="S95" s="532"/>
      <c r="T95" s="613">
        <f>SUM(P$89:S95)</f>
        <v>38</v>
      </c>
      <c r="U95" s="614">
        <f t="shared" si="26"/>
        <v>5</v>
      </c>
      <c r="V95" s="615">
        <f>SUM(W$89:Z95)</f>
        <v>33</v>
      </c>
      <c r="W95" s="532"/>
      <c r="X95" s="531"/>
      <c r="Y95" s="532">
        <v>2</v>
      </c>
      <c r="Z95" s="532"/>
      <c r="AA95" s="604"/>
      <c r="AB95" s="533">
        <v>7</v>
      </c>
      <c r="AC95" s="531"/>
      <c r="AD95" s="532"/>
      <c r="AE95" s="532" t="s">
        <v>2</v>
      </c>
      <c r="AF95" s="563"/>
      <c r="AG95" s="613">
        <f>SUM(AC$89:AF95)</f>
        <v>25</v>
      </c>
      <c r="AH95" s="614">
        <f t="shared" si="27"/>
        <v>-13</v>
      </c>
      <c r="AI95" s="615">
        <f>SUM(AJ$89:AM95)</f>
        <v>38</v>
      </c>
      <c r="AJ95" s="531"/>
      <c r="AK95" s="532"/>
      <c r="AL95" s="532">
        <v>11</v>
      </c>
      <c r="AM95" s="563"/>
      <c r="AN95" s="604"/>
      <c r="AO95" s="533">
        <v>7</v>
      </c>
      <c r="AP95" s="532"/>
      <c r="AQ95" s="531"/>
      <c r="AR95" s="532" t="s">
        <v>2</v>
      </c>
      <c r="AS95" s="532"/>
      <c r="AT95" s="613">
        <f>SUM(AP$89:AS95)</f>
        <v>33</v>
      </c>
      <c r="AU95" s="614">
        <f t="shared" si="28"/>
        <v>-3</v>
      </c>
      <c r="AV95" s="615">
        <f>SUM(AW$89:AZ95)</f>
        <v>36</v>
      </c>
      <c r="AW95" s="532"/>
      <c r="AX95" s="531"/>
      <c r="AY95" s="532">
        <v>12</v>
      </c>
      <c r="AZ95" s="532"/>
      <c r="BA95" s="605"/>
      <c r="BB95" s="529"/>
      <c r="BC95" s="520"/>
      <c r="BD95" s="518"/>
      <c r="BE95" s="518"/>
      <c r="BF95" s="518"/>
      <c r="BG95" s="612"/>
      <c r="BH95" s="604"/>
      <c r="BI95" s="612"/>
      <c r="BJ95" s="520"/>
      <c r="BK95" s="518"/>
      <c r="BL95" s="518"/>
      <c r="BM95" s="518"/>
      <c r="BN95" s="605"/>
      <c r="BO95" s="533">
        <v>7</v>
      </c>
      <c r="BP95" s="532"/>
      <c r="BQ95" s="531"/>
      <c r="BR95" s="532" t="s">
        <v>2</v>
      </c>
      <c r="BS95" s="532"/>
      <c r="BT95" s="613">
        <f>SUM(BP$89:BS95)</f>
        <v>31</v>
      </c>
      <c r="BU95" s="614">
        <f t="shared" si="29"/>
        <v>-10</v>
      </c>
      <c r="BV95" s="615">
        <f>SUM(BW$89:BZ95)</f>
        <v>41</v>
      </c>
      <c r="BW95" s="532"/>
      <c r="BX95" s="531"/>
      <c r="BY95" s="532">
        <v>11</v>
      </c>
      <c r="BZ95" s="532"/>
      <c r="CA95" s="604"/>
      <c r="CB95" s="533">
        <v>7</v>
      </c>
      <c r="CC95" s="532"/>
      <c r="CD95" s="531"/>
      <c r="CE95" s="532">
        <v>3</v>
      </c>
      <c r="CF95" s="532"/>
      <c r="CG95" s="613">
        <f>SUM(CC$89:CF95)</f>
        <v>45</v>
      </c>
      <c r="CH95" s="614">
        <f t="shared" si="30"/>
        <v>25</v>
      </c>
      <c r="CI95" s="615">
        <f>SUM(CJ$89:CM95)</f>
        <v>20</v>
      </c>
      <c r="CJ95" s="532"/>
      <c r="CK95" s="531"/>
      <c r="CL95" s="653">
        <v>2</v>
      </c>
      <c r="CM95" s="532"/>
      <c r="CN95" s="605"/>
    </row>
    <row r="96" spans="1:92" s="517" customFormat="1" ht="15">
      <c r="A96" s="1537"/>
      <c r="B96" s="533">
        <v>8</v>
      </c>
      <c r="C96" s="531"/>
      <c r="D96" s="532"/>
      <c r="E96" s="532"/>
      <c r="F96" s="653">
        <v>2</v>
      </c>
      <c r="G96" s="613">
        <f>SUM(C$89:F96)</f>
        <v>42</v>
      </c>
      <c r="H96" s="614">
        <f t="shared" si="25"/>
        <v>-4</v>
      </c>
      <c r="I96" s="615">
        <f>SUM(J$89:M96)</f>
        <v>46</v>
      </c>
      <c r="J96" s="531"/>
      <c r="K96" s="532"/>
      <c r="L96" s="532"/>
      <c r="M96" s="600">
        <v>9</v>
      </c>
      <c r="N96" s="604"/>
      <c r="O96" s="533">
        <v>8</v>
      </c>
      <c r="P96" s="531"/>
      <c r="Q96" s="532"/>
      <c r="R96" s="532"/>
      <c r="S96" s="600" t="s">
        <v>2</v>
      </c>
      <c r="T96" s="613">
        <f>SUM(P$89:S96)</f>
        <v>38</v>
      </c>
      <c r="U96" s="614">
        <f t="shared" si="26"/>
        <v>-7</v>
      </c>
      <c r="V96" s="615">
        <f>SUM(W$89:Z96)</f>
        <v>45</v>
      </c>
      <c r="W96" s="531"/>
      <c r="X96" s="532"/>
      <c r="Y96" s="532"/>
      <c r="Z96" s="600">
        <v>12</v>
      </c>
      <c r="AA96" s="604"/>
      <c r="AB96" s="533">
        <v>8</v>
      </c>
      <c r="AC96" s="532"/>
      <c r="AD96" s="531"/>
      <c r="AE96" s="532"/>
      <c r="AF96" s="532">
        <v>7</v>
      </c>
      <c r="AG96" s="613">
        <f>SUM(AC$89:AF96)</f>
        <v>32</v>
      </c>
      <c r="AH96" s="614">
        <f t="shared" si="27"/>
        <v>-7</v>
      </c>
      <c r="AI96" s="615">
        <f>SUM(AJ$89:AM96)</f>
        <v>39</v>
      </c>
      <c r="AJ96" s="532"/>
      <c r="AK96" s="531"/>
      <c r="AL96" s="532"/>
      <c r="AM96" s="565">
        <v>1</v>
      </c>
      <c r="AN96" s="604"/>
      <c r="AO96" s="533">
        <v>8</v>
      </c>
      <c r="AP96" s="531"/>
      <c r="AQ96" s="532"/>
      <c r="AR96" s="532"/>
      <c r="AS96" s="600" t="s">
        <v>2</v>
      </c>
      <c r="AT96" s="613">
        <f>SUM(AP$89:AS96)</f>
        <v>33</v>
      </c>
      <c r="AU96" s="614">
        <f t="shared" si="28"/>
        <v>-6</v>
      </c>
      <c r="AV96" s="615">
        <f>SUM(AW$89:AZ96)</f>
        <v>39</v>
      </c>
      <c r="AW96" s="531"/>
      <c r="AX96" s="532"/>
      <c r="AY96" s="532"/>
      <c r="AZ96" s="600">
        <v>3</v>
      </c>
      <c r="BA96" s="605"/>
      <c r="BB96" s="529"/>
      <c r="BC96" s="518"/>
      <c r="BD96" s="520"/>
      <c r="BE96" s="520"/>
      <c r="BF96" s="518"/>
      <c r="BG96" s="612"/>
      <c r="BH96" s="604"/>
      <c r="BI96" s="612"/>
      <c r="BJ96" s="518"/>
      <c r="BK96" s="520"/>
      <c r="BL96" s="520"/>
      <c r="BM96" s="518"/>
      <c r="BN96" s="605"/>
      <c r="BO96" s="533">
        <v>8</v>
      </c>
      <c r="BP96" s="531"/>
      <c r="BQ96" s="532"/>
      <c r="BR96" s="532"/>
      <c r="BS96" s="653">
        <v>2</v>
      </c>
      <c r="BT96" s="613">
        <f>SUM(BP$89:BS96)</f>
        <v>33</v>
      </c>
      <c r="BU96" s="614">
        <f t="shared" si="29"/>
        <v>-11</v>
      </c>
      <c r="BV96" s="615">
        <f>SUM(BW$89:BZ96)</f>
        <v>44</v>
      </c>
      <c r="BW96" s="531"/>
      <c r="BX96" s="532"/>
      <c r="BY96" s="532"/>
      <c r="BZ96" s="600">
        <v>3</v>
      </c>
      <c r="CA96" s="604"/>
      <c r="CB96" s="533">
        <v>8</v>
      </c>
      <c r="CC96" s="531"/>
      <c r="CD96" s="532"/>
      <c r="CE96" s="532"/>
      <c r="CF96" s="600" t="s">
        <v>2</v>
      </c>
      <c r="CG96" s="613">
        <f>SUM(CC$89:CF96)</f>
        <v>45</v>
      </c>
      <c r="CH96" s="614">
        <f t="shared" si="30"/>
        <v>15</v>
      </c>
      <c r="CI96" s="615">
        <f>SUM(CJ$89:CM96)</f>
        <v>30</v>
      </c>
      <c r="CJ96" s="531"/>
      <c r="CK96" s="532"/>
      <c r="CL96" s="532"/>
      <c r="CM96" s="600">
        <v>10</v>
      </c>
      <c r="CN96" s="605"/>
    </row>
    <row r="97" spans="1:92" s="517" customFormat="1" ht="15">
      <c r="A97" s="1537"/>
      <c r="B97" s="530">
        <v>9</v>
      </c>
      <c r="C97" s="532">
        <v>2</v>
      </c>
      <c r="D97" s="531"/>
      <c r="E97" s="532"/>
      <c r="F97" s="532"/>
      <c r="G97" s="613">
        <f>SUM(C$89:F97)</f>
        <v>44</v>
      </c>
      <c r="H97" s="614">
        <f t="shared" si="25"/>
        <v>-4</v>
      </c>
      <c r="I97" s="615">
        <f>SUM(J$89:M97)</f>
        <v>48</v>
      </c>
      <c r="J97" s="532">
        <v>2</v>
      </c>
      <c r="K97" s="531"/>
      <c r="L97" s="532"/>
      <c r="M97" s="532"/>
      <c r="N97" s="604"/>
      <c r="O97" s="530">
        <v>9</v>
      </c>
      <c r="P97" s="565">
        <v>12</v>
      </c>
      <c r="Q97" s="531"/>
      <c r="R97" s="532"/>
      <c r="S97" s="532"/>
      <c r="T97" s="613">
        <f>SUM(P$89:S97)</f>
        <v>50</v>
      </c>
      <c r="U97" s="614">
        <f t="shared" si="26"/>
        <v>5</v>
      </c>
      <c r="V97" s="615">
        <f>SUM(W$89:Z97)</f>
        <v>45</v>
      </c>
      <c r="W97" s="532"/>
      <c r="X97" s="531"/>
      <c r="Y97" s="532"/>
      <c r="Z97" s="532"/>
      <c r="AA97" s="604"/>
      <c r="AB97" s="530">
        <v>9</v>
      </c>
      <c r="AC97" s="532">
        <v>11</v>
      </c>
      <c r="AD97" s="531"/>
      <c r="AE97" s="532"/>
      <c r="AF97" s="532"/>
      <c r="AG97" s="613">
        <f>SUM(AC$89:AF97)</f>
        <v>43</v>
      </c>
      <c r="AH97" s="614">
        <f t="shared" si="27"/>
        <v>-7</v>
      </c>
      <c r="AI97" s="615">
        <f>SUM(AJ$89:AM97)</f>
        <v>50</v>
      </c>
      <c r="AJ97" s="565">
        <v>11</v>
      </c>
      <c r="AK97" s="531"/>
      <c r="AL97" s="532"/>
      <c r="AM97" s="532"/>
      <c r="AN97" s="604"/>
      <c r="AO97" s="530">
        <v>9</v>
      </c>
      <c r="AP97" s="644">
        <v>10</v>
      </c>
      <c r="AQ97" s="531"/>
      <c r="AR97" s="532"/>
      <c r="AS97" s="532"/>
      <c r="AT97" s="613">
        <f>SUM(AP$89:AS97)</f>
        <v>43</v>
      </c>
      <c r="AU97" s="614">
        <f t="shared" si="28"/>
        <v>-4</v>
      </c>
      <c r="AV97" s="615">
        <f>SUM(AW$89:AZ97)</f>
        <v>47</v>
      </c>
      <c r="AW97" s="532">
        <v>8</v>
      </c>
      <c r="AX97" s="531"/>
      <c r="AY97" s="532"/>
      <c r="AZ97" s="532"/>
      <c r="BA97" s="605"/>
      <c r="BB97" s="529"/>
      <c r="BC97" s="518"/>
      <c r="BD97" s="520"/>
      <c r="BE97" s="520"/>
      <c r="BF97" s="518"/>
      <c r="BG97" s="612"/>
      <c r="BH97" s="604"/>
      <c r="BI97" s="612"/>
      <c r="BJ97" s="518"/>
      <c r="BK97" s="520"/>
      <c r="BL97" s="520"/>
      <c r="BM97" s="518"/>
      <c r="BN97" s="605"/>
      <c r="BO97" s="530">
        <v>9</v>
      </c>
      <c r="BP97" s="532" t="s">
        <v>2</v>
      </c>
      <c r="BQ97" s="531"/>
      <c r="BR97" s="532"/>
      <c r="BS97" s="532"/>
      <c r="BT97" s="613">
        <f>SUM(BP$89:BS97)</f>
        <v>33</v>
      </c>
      <c r="BU97" s="614">
        <f t="shared" si="29"/>
        <v>-17</v>
      </c>
      <c r="BV97" s="615">
        <f>SUM(BW$89:BZ97)</f>
        <v>50</v>
      </c>
      <c r="BW97" s="1427">
        <v>6</v>
      </c>
      <c r="BX97" s="531"/>
      <c r="BY97" s="532"/>
      <c r="BZ97" s="532"/>
      <c r="CA97" s="604"/>
      <c r="CB97" s="530">
        <v>9</v>
      </c>
      <c r="CC97" s="532">
        <v>2</v>
      </c>
      <c r="CD97" s="531"/>
      <c r="CE97" s="532"/>
      <c r="CF97" s="532"/>
      <c r="CG97" s="613">
        <f>SUM(CC$89:CF97)</f>
        <v>47</v>
      </c>
      <c r="CH97" s="614">
        <f t="shared" si="30"/>
        <v>14</v>
      </c>
      <c r="CI97" s="615">
        <f>SUM(CJ$89:CM97)</f>
        <v>33</v>
      </c>
      <c r="CJ97" s="532">
        <v>3</v>
      </c>
      <c r="CK97" s="531"/>
      <c r="CL97" s="532"/>
      <c r="CM97" s="532"/>
      <c r="CN97" s="605"/>
    </row>
    <row r="98" spans="1:92" s="517" customFormat="1" ht="15">
      <c r="A98" s="1537"/>
      <c r="B98" s="530">
        <v>10</v>
      </c>
      <c r="C98" s="531"/>
      <c r="D98" s="565">
        <v>6</v>
      </c>
      <c r="E98" s="532"/>
      <c r="F98" s="600"/>
      <c r="G98" s="613">
        <f>SUM(C$89:F98)</f>
        <v>50</v>
      </c>
      <c r="H98" s="614">
        <f>G98-I98</f>
        <v>2</v>
      </c>
      <c r="I98" s="615">
        <f>SUM(J$89:M98)</f>
        <v>48</v>
      </c>
      <c r="J98" s="531"/>
      <c r="K98" s="532"/>
      <c r="L98" s="532"/>
      <c r="M98" s="600"/>
      <c r="N98" s="604"/>
      <c r="O98" s="522"/>
      <c r="P98" s="534"/>
      <c r="Q98" s="616"/>
      <c r="R98" s="616"/>
      <c r="S98" s="534"/>
      <c r="T98" s="616"/>
      <c r="U98" s="607"/>
      <c r="V98" s="607"/>
      <c r="W98" s="534"/>
      <c r="X98" s="616"/>
      <c r="Y98" s="616"/>
      <c r="Z98" s="534"/>
      <c r="AA98" s="604"/>
      <c r="AB98" s="522"/>
      <c r="AC98" s="534"/>
      <c r="AD98" s="616"/>
      <c r="AE98" s="616"/>
      <c r="AF98" s="534"/>
      <c r="AG98" s="616"/>
      <c r="AH98" s="607"/>
      <c r="AI98" s="607"/>
      <c r="AJ98" s="534"/>
      <c r="AK98" s="616"/>
      <c r="AL98" s="616"/>
      <c r="AM98" s="534"/>
      <c r="AN98" s="604"/>
      <c r="AO98" s="530">
        <v>10</v>
      </c>
      <c r="AP98" s="531"/>
      <c r="AQ98" s="1427">
        <v>7</v>
      </c>
      <c r="AR98" s="532"/>
      <c r="AS98" s="600"/>
      <c r="AT98" s="613">
        <f>SUM(AP$89:AS98)</f>
        <v>50</v>
      </c>
      <c r="AU98" s="614">
        <f>AT98-AV98</f>
        <v>3</v>
      </c>
      <c r="AV98" s="615">
        <f>SUM(AW$89:AZ98)</f>
        <v>47</v>
      </c>
      <c r="AW98" s="531"/>
      <c r="AX98" s="532"/>
      <c r="AY98" s="532"/>
      <c r="AZ98" s="600"/>
      <c r="BA98" s="605"/>
      <c r="BB98" s="529"/>
      <c r="BC98" s="518"/>
      <c r="BD98" s="520"/>
      <c r="BE98" s="520"/>
      <c r="BF98" s="518"/>
      <c r="BG98" s="612"/>
      <c r="BH98" s="604"/>
      <c r="BI98" s="612"/>
      <c r="BJ98" s="518"/>
      <c r="BK98" s="520"/>
      <c r="BL98" s="520"/>
      <c r="BM98" s="518"/>
      <c r="BN98" s="605"/>
      <c r="BO98" s="522"/>
      <c r="BP98" s="534"/>
      <c r="BQ98" s="616"/>
      <c r="BR98" s="616"/>
      <c r="BS98" s="534"/>
      <c r="BT98" s="616"/>
      <c r="BU98" s="607"/>
      <c r="BV98" s="607"/>
      <c r="BW98" s="534"/>
      <c r="BX98" s="616"/>
      <c r="BY98" s="616"/>
      <c r="BZ98" s="534"/>
      <c r="CA98" s="604"/>
      <c r="CB98" s="530">
        <v>10</v>
      </c>
      <c r="CC98" s="531"/>
      <c r="CD98" s="532" t="s">
        <v>2</v>
      </c>
      <c r="CE98" s="532"/>
      <c r="CF98" s="600"/>
      <c r="CG98" s="613">
        <f>SUM(CC$89:CF98)</f>
        <v>47</v>
      </c>
      <c r="CH98" s="614">
        <f>CG98-CI98</f>
        <v>14</v>
      </c>
      <c r="CI98" s="615">
        <f>SUM(CJ$89:CM98)</f>
        <v>33</v>
      </c>
      <c r="CJ98" s="531"/>
      <c r="CK98" s="532" t="s">
        <v>2</v>
      </c>
      <c r="CL98" s="532"/>
      <c r="CM98" s="600"/>
      <c r="CN98" s="605"/>
    </row>
    <row r="99" spans="1:92" s="517" customFormat="1" ht="15">
      <c r="A99" s="1537"/>
      <c r="B99" s="522"/>
      <c r="C99" s="534"/>
      <c r="D99" s="616"/>
      <c r="E99" s="616"/>
      <c r="F99" s="534"/>
      <c r="G99" s="616"/>
      <c r="H99" s="607"/>
      <c r="I99" s="607"/>
      <c r="J99" s="534"/>
      <c r="K99" s="616"/>
      <c r="L99" s="616"/>
      <c r="M99" s="534"/>
      <c r="N99" s="604"/>
      <c r="O99" s="522"/>
      <c r="P99" s="534"/>
      <c r="Q99" s="616"/>
      <c r="R99" s="616"/>
      <c r="S99" s="534"/>
      <c r="T99" s="616"/>
      <c r="U99" s="607"/>
      <c r="V99" s="607"/>
      <c r="W99" s="534"/>
      <c r="X99" s="616"/>
      <c r="Y99" s="616"/>
      <c r="Z99" s="534"/>
      <c r="AA99" s="604"/>
      <c r="AB99" s="522"/>
      <c r="AC99" s="534"/>
      <c r="AD99" s="616"/>
      <c r="AE99" s="616"/>
      <c r="AF99" s="534"/>
      <c r="AG99" s="616"/>
      <c r="AH99" s="607"/>
      <c r="AI99" s="607"/>
      <c r="AJ99" s="534"/>
      <c r="AK99" s="616"/>
      <c r="AL99" s="616"/>
      <c r="AM99" s="534"/>
      <c r="AN99" s="604"/>
      <c r="AO99" s="522"/>
      <c r="AP99" s="534"/>
      <c r="AQ99" s="616"/>
      <c r="AR99" s="616"/>
      <c r="AS99" s="534"/>
      <c r="AT99" s="616"/>
      <c r="AU99" s="607"/>
      <c r="AV99" s="607"/>
      <c r="AW99" s="534"/>
      <c r="AX99" s="616"/>
      <c r="AY99" s="616"/>
      <c r="AZ99" s="534"/>
      <c r="BA99" s="605"/>
      <c r="BB99" s="529"/>
      <c r="BC99" s="518"/>
      <c r="BD99" s="606"/>
      <c r="BE99" s="606"/>
      <c r="BF99" s="518"/>
      <c r="BG99" s="606"/>
      <c r="BH99" s="604"/>
      <c r="BI99" s="604"/>
      <c r="BJ99" s="518"/>
      <c r="BK99" s="606"/>
      <c r="BL99" s="606"/>
      <c r="BM99" s="518"/>
      <c r="BN99" s="605"/>
      <c r="BO99" s="522"/>
      <c r="BP99" s="534"/>
      <c r="BQ99" s="616"/>
      <c r="BR99" s="616"/>
      <c r="BS99" s="534"/>
      <c r="BT99" s="616"/>
      <c r="BU99" s="607"/>
      <c r="BV99" s="607"/>
      <c r="BW99" s="534"/>
      <c r="BX99" s="616"/>
      <c r="BY99" s="616"/>
      <c r="BZ99" s="534"/>
      <c r="CA99" s="604"/>
      <c r="CB99" s="533">
        <v>11</v>
      </c>
      <c r="CC99" s="532"/>
      <c r="CD99" s="531"/>
      <c r="CE99" s="532" t="s">
        <v>2</v>
      </c>
      <c r="CF99" s="532"/>
      <c r="CG99" s="613">
        <f>SUM(CC$89:CF99)</f>
        <v>47</v>
      </c>
      <c r="CH99" s="614">
        <f t="shared" si="30"/>
        <v>14</v>
      </c>
      <c r="CI99" s="615">
        <f>SUM(CJ$89:CM99)</f>
        <v>33</v>
      </c>
      <c r="CJ99" s="532"/>
      <c r="CK99" s="531"/>
      <c r="CL99" s="532" t="s">
        <v>2</v>
      </c>
      <c r="CM99" s="532"/>
      <c r="CN99" s="605"/>
    </row>
    <row r="100" spans="1:92" s="517" customFormat="1" ht="15">
      <c r="A100" s="1537"/>
      <c r="B100" s="522"/>
      <c r="C100" s="534"/>
      <c r="D100" s="616"/>
      <c r="E100" s="616"/>
      <c r="F100" s="534"/>
      <c r="G100" s="616"/>
      <c r="H100" s="607"/>
      <c r="I100" s="607"/>
      <c r="J100" s="534"/>
      <c r="K100" s="616"/>
      <c r="L100" s="616"/>
      <c r="M100" s="534"/>
      <c r="N100" s="604"/>
      <c r="O100" s="522"/>
      <c r="P100" s="534"/>
      <c r="Q100" s="616"/>
      <c r="R100" s="616"/>
      <c r="S100" s="534"/>
      <c r="T100" s="616"/>
      <c r="U100" s="607"/>
      <c r="V100" s="607"/>
      <c r="W100" s="534"/>
      <c r="X100" s="616"/>
      <c r="Y100" s="616"/>
      <c r="Z100" s="534"/>
      <c r="AA100" s="604"/>
      <c r="AB100" s="522"/>
      <c r="AC100" s="534"/>
      <c r="AD100" s="616"/>
      <c r="AE100" s="616"/>
      <c r="AF100" s="534"/>
      <c r="AG100" s="616"/>
      <c r="AH100" s="607"/>
      <c r="AI100" s="607"/>
      <c r="AJ100" s="534"/>
      <c r="AK100" s="616"/>
      <c r="AL100" s="616"/>
      <c r="AM100" s="534"/>
      <c r="AN100" s="604"/>
      <c r="AO100" s="522"/>
      <c r="AP100" s="534"/>
      <c r="AQ100" s="616"/>
      <c r="AR100" s="616"/>
      <c r="AS100" s="534"/>
      <c r="AT100" s="616"/>
      <c r="AU100" s="607"/>
      <c r="AV100" s="607"/>
      <c r="AW100" s="534"/>
      <c r="AX100" s="616"/>
      <c r="AY100" s="616"/>
      <c r="AZ100" s="534"/>
      <c r="BA100" s="605"/>
      <c r="BB100" s="529"/>
      <c r="BC100" s="518"/>
      <c r="BD100" s="606"/>
      <c r="BE100" s="606"/>
      <c r="BF100" s="518"/>
      <c r="BG100" s="606"/>
      <c r="BH100" s="604"/>
      <c r="BI100" s="604"/>
      <c r="BJ100" s="518"/>
      <c r="BK100" s="606"/>
      <c r="BL100" s="606"/>
      <c r="BM100" s="518"/>
      <c r="BN100" s="605"/>
      <c r="BO100" s="522"/>
      <c r="BP100" s="534"/>
      <c r="BQ100" s="616"/>
      <c r="BR100" s="616"/>
      <c r="BS100" s="534"/>
      <c r="BT100" s="616"/>
      <c r="BU100" s="607"/>
      <c r="BV100" s="607"/>
      <c r="BW100" s="534"/>
      <c r="BX100" s="616"/>
      <c r="BY100" s="616"/>
      <c r="BZ100" s="534"/>
      <c r="CA100" s="604"/>
      <c r="CB100" s="530">
        <v>12</v>
      </c>
      <c r="CC100" s="531"/>
      <c r="CD100" s="532"/>
      <c r="CE100" s="532"/>
      <c r="CF100" s="1428">
        <v>3</v>
      </c>
      <c r="CG100" s="613">
        <f>SUM(CC$89:CF100)</f>
        <v>50</v>
      </c>
      <c r="CH100" s="614">
        <f>CG100-CI100</f>
        <v>17</v>
      </c>
      <c r="CI100" s="615">
        <f>SUM(CJ$89:CM100)</f>
        <v>33</v>
      </c>
      <c r="CJ100" s="531"/>
      <c r="CK100" s="532"/>
      <c r="CL100" s="532"/>
      <c r="CM100" s="600"/>
      <c r="CN100" s="605"/>
    </row>
    <row r="101" spans="1:92" s="517" customFormat="1">
      <c r="A101" s="1537"/>
      <c r="B101" s="522"/>
      <c r="C101" s="534"/>
      <c r="D101" s="616"/>
      <c r="E101" s="616"/>
      <c r="F101" s="534"/>
      <c r="G101" s="616"/>
      <c r="H101" s="607"/>
      <c r="I101" s="607"/>
      <c r="J101" s="534"/>
      <c r="K101" s="616"/>
      <c r="L101" s="616"/>
      <c r="M101" s="534"/>
      <c r="N101" s="604"/>
      <c r="O101" s="522"/>
      <c r="P101" s="534"/>
      <c r="Q101" s="616"/>
      <c r="R101" s="616"/>
      <c r="S101" s="534"/>
      <c r="T101" s="616"/>
      <c r="U101" s="607"/>
      <c r="V101" s="607"/>
      <c r="W101" s="534"/>
      <c r="X101" s="616"/>
      <c r="Y101" s="616"/>
      <c r="Z101" s="534"/>
      <c r="AA101" s="604"/>
      <c r="AB101" s="522"/>
      <c r="AC101" s="534"/>
      <c r="AD101" s="616"/>
      <c r="AE101" s="616"/>
      <c r="AF101" s="534"/>
      <c r="AG101" s="616"/>
      <c r="AH101" s="607"/>
      <c r="AI101" s="607"/>
      <c r="AJ101" s="534"/>
      <c r="AK101" s="616"/>
      <c r="AL101" s="616"/>
      <c r="AM101" s="534"/>
      <c r="AN101" s="604"/>
      <c r="AO101" s="522"/>
      <c r="AP101" s="534"/>
      <c r="AQ101" s="616"/>
      <c r="AR101" s="616"/>
      <c r="AS101" s="534"/>
      <c r="AT101" s="616"/>
      <c r="AU101" s="607"/>
      <c r="AV101" s="607"/>
      <c r="AW101" s="534"/>
      <c r="AX101" s="616"/>
      <c r="AY101" s="616"/>
      <c r="AZ101" s="534"/>
      <c r="BA101" s="605"/>
      <c r="BB101" s="529"/>
      <c r="BC101" s="518"/>
      <c r="BD101" s="606"/>
      <c r="BE101" s="606"/>
      <c r="BF101" s="518"/>
      <c r="BG101" s="606"/>
      <c r="BH101" s="604"/>
      <c r="BI101" s="604"/>
      <c r="BJ101" s="518"/>
      <c r="BK101" s="606"/>
      <c r="BL101" s="606"/>
      <c r="BM101" s="518"/>
      <c r="BN101" s="605"/>
      <c r="BO101" s="522"/>
      <c r="BP101" s="534"/>
      <c r="BQ101" s="616"/>
      <c r="BR101" s="616"/>
      <c r="BS101" s="534"/>
      <c r="BT101" s="616"/>
      <c r="BU101" s="607"/>
      <c r="BV101" s="607"/>
      <c r="BW101" s="534"/>
      <c r="BX101" s="616"/>
      <c r="BY101" s="616"/>
      <c r="BZ101" s="534"/>
      <c r="CA101" s="604"/>
      <c r="CB101" s="522"/>
      <c r="CC101" s="534"/>
      <c r="CD101" s="616"/>
      <c r="CE101" s="616"/>
      <c r="CF101" s="534"/>
      <c r="CG101" s="616"/>
      <c r="CH101" s="607"/>
      <c r="CI101" s="607"/>
      <c r="CJ101" s="534"/>
      <c r="CK101" s="616"/>
      <c r="CL101" s="616"/>
      <c r="CM101" s="534"/>
      <c r="CN101" s="605"/>
    </row>
    <row r="102" spans="1:92" s="517" customFormat="1" ht="15">
      <c r="A102" s="1537"/>
      <c r="B102" s="539" t="s">
        <v>3</v>
      </c>
      <c r="C102" s="531">
        <f>SUM(C89:C99)</f>
        <v>24</v>
      </c>
      <c r="D102" s="531">
        <f>SUM(D89:D99)</f>
        <v>7</v>
      </c>
      <c r="E102" s="531">
        <f>SUM(E89:E99)</f>
        <v>8</v>
      </c>
      <c r="F102" s="531">
        <f>SUM(F89:F99)</f>
        <v>11</v>
      </c>
      <c r="G102" s="541">
        <f>SUM(C102:F102)</f>
        <v>50</v>
      </c>
      <c r="H102" s="607"/>
      <c r="I102" s="541">
        <f>SUM(J102:M102)</f>
        <v>48</v>
      </c>
      <c r="J102" s="531">
        <f>SUM(J89:J99)</f>
        <v>7</v>
      </c>
      <c r="K102" s="531">
        <f>SUM(K89:K99)</f>
        <v>21</v>
      </c>
      <c r="L102" s="531">
        <f>SUM(L89:L99)</f>
        <v>2</v>
      </c>
      <c r="M102" s="540">
        <f>SUM(M89:M99)</f>
        <v>18</v>
      </c>
      <c r="N102" s="604"/>
      <c r="O102" s="539" t="s">
        <v>3</v>
      </c>
      <c r="P102" s="531">
        <f>SUM(P89:P99)</f>
        <v>30</v>
      </c>
      <c r="Q102" s="531">
        <f>SUM(Q89:Q99)</f>
        <v>10</v>
      </c>
      <c r="R102" s="531">
        <f>SUM(R89:R99)</f>
        <v>8</v>
      </c>
      <c r="S102" s="531">
        <f>SUM(S89:S99)</f>
        <v>2</v>
      </c>
      <c r="T102" s="541">
        <f>SUM(P102:S102)</f>
        <v>50</v>
      </c>
      <c r="U102" s="607"/>
      <c r="V102" s="541">
        <f>SUM(W102:Z102)</f>
        <v>45</v>
      </c>
      <c r="W102" s="531">
        <f>SUM(W89:W99)</f>
        <v>15</v>
      </c>
      <c r="X102" s="531">
        <f>SUM(X89:X99)</f>
        <v>6</v>
      </c>
      <c r="Y102" s="531">
        <f>SUM(Y89:Y99)</f>
        <v>12</v>
      </c>
      <c r="Z102" s="540">
        <f>SUM(Z89:Z99)</f>
        <v>12</v>
      </c>
      <c r="AA102" s="604"/>
      <c r="AB102" s="539" t="s">
        <v>3</v>
      </c>
      <c r="AC102" s="531">
        <f>SUM(AC89:AC99)</f>
        <v>22</v>
      </c>
      <c r="AD102" s="531">
        <f>SUM(AD89:AD99)</f>
        <v>9</v>
      </c>
      <c r="AE102" s="531">
        <f>SUM(AE89:AE99)</f>
        <v>5</v>
      </c>
      <c r="AF102" s="531">
        <f>SUM(AF89:AF99)</f>
        <v>7</v>
      </c>
      <c r="AG102" s="541">
        <f>SUM(AC102:AF102)</f>
        <v>43</v>
      </c>
      <c r="AH102" s="607"/>
      <c r="AI102" s="541">
        <f>SUM(AJ102:AM102)</f>
        <v>50</v>
      </c>
      <c r="AJ102" s="531">
        <f>SUM(AJ89:AJ99)</f>
        <v>23</v>
      </c>
      <c r="AK102" s="531">
        <f>SUM(AK89:AK99)</f>
        <v>6</v>
      </c>
      <c r="AL102" s="531">
        <f>SUM(AL89:AL99)</f>
        <v>20</v>
      </c>
      <c r="AM102" s="540">
        <f>SUM(AM89:AM99)</f>
        <v>1</v>
      </c>
      <c r="AN102" s="604"/>
      <c r="AO102" s="539" t="s">
        <v>3</v>
      </c>
      <c r="AP102" s="531">
        <f>SUM(AP89:AP99)</f>
        <v>22</v>
      </c>
      <c r="AQ102" s="531">
        <f>SUM(AQ89:AQ99)</f>
        <v>15</v>
      </c>
      <c r="AR102" s="531">
        <f>SUM(AR89:AR99)</f>
        <v>10</v>
      </c>
      <c r="AS102" s="531">
        <f>SUM(AS89:AS99)</f>
        <v>3</v>
      </c>
      <c r="AT102" s="541">
        <f>SUM(AP102:AS102)</f>
        <v>50</v>
      </c>
      <c r="AU102" s="607"/>
      <c r="AV102" s="541">
        <f>SUM(AW102:AZ102)</f>
        <v>47</v>
      </c>
      <c r="AW102" s="531">
        <f>SUM(AW89:AW99)</f>
        <v>23</v>
      </c>
      <c r="AX102" s="531">
        <f>SUM(AX89:AX99)</f>
        <v>7</v>
      </c>
      <c r="AY102" s="531">
        <f>SUM(AY89:AY99)</f>
        <v>12</v>
      </c>
      <c r="AZ102" s="540">
        <f>SUM(AZ89:AZ99)</f>
        <v>5</v>
      </c>
      <c r="BA102" s="605"/>
      <c r="BB102" s="536"/>
      <c r="BC102" s="518"/>
      <c r="BD102" s="518"/>
      <c r="BE102" s="518"/>
      <c r="BF102" s="518"/>
      <c r="BG102" s="537"/>
      <c r="BH102" s="604"/>
      <c r="BI102" s="537"/>
      <c r="BJ102" s="518"/>
      <c r="BK102" s="518"/>
      <c r="BL102" s="518"/>
      <c r="BM102" s="518"/>
      <c r="BN102" s="605"/>
      <c r="BO102" s="539" t="s">
        <v>3</v>
      </c>
      <c r="BP102" s="531">
        <f>SUM(BP89:BP99)</f>
        <v>21</v>
      </c>
      <c r="BQ102" s="531">
        <f>SUM(BQ89:BQ99)</f>
        <v>0</v>
      </c>
      <c r="BR102" s="531">
        <f>SUM(BR89:BR99)</f>
        <v>8</v>
      </c>
      <c r="BS102" s="531">
        <f>SUM(BS89:BS99)</f>
        <v>4</v>
      </c>
      <c r="BT102" s="541">
        <f>SUM(BP102:BS102)</f>
        <v>33</v>
      </c>
      <c r="BU102" s="607"/>
      <c r="BV102" s="541">
        <f>SUM(BW102:BZ102)</f>
        <v>50</v>
      </c>
      <c r="BW102" s="531">
        <f>SUM(BW89:BW99)</f>
        <v>16</v>
      </c>
      <c r="BX102" s="531">
        <f>SUM(BX89:BX99)</f>
        <v>7</v>
      </c>
      <c r="BY102" s="531">
        <f>SUM(BY89:BY99)</f>
        <v>19</v>
      </c>
      <c r="BZ102" s="540">
        <f>SUM(BZ89:BZ99)</f>
        <v>8</v>
      </c>
      <c r="CA102" s="604"/>
      <c r="CB102" s="539" t="s">
        <v>3</v>
      </c>
      <c r="CC102" s="531">
        <f>SUM(CC89:CC100)</f>
        <v>20</v>
      </c>
      <c r="CD102" s="531">
        <f>SUM(CD89:CD100)</f>
        <v>22</v>
      </c>
      <c r="CE102" s="531">
        <f>SUM(CE89:CE100)</f>
        <v>3</v>
      </c>
      <c r="CF102" s="531">
        <f>SUM(CF89:CF100)</f>
        <v>5</v>
      </c>
      <c r="CG102" s="541">
        <f>SUM(CC102:CF102)</f>
        <v>50</v>
      </c>
      <c r="CH102" s="607"/>
      <c r="CI102" s="541">
        <f>SUM(CJ102:CM102)</f>
        <v>33</v>
      </c>
      <c r="CJ102" s="531">
        <f>SUM(CJ89:CJ100)</f>
        <v>8</v>
      </c>
      <c r="CK102" s="531">
        <f>SUM(CK89:CK100)</f>
        <v>2</v>
      </c>
      <c r="CL102" s="531">
        <f>SUM(CL89:CL100)</f>
        <v>2</v>
      </c>
      <c r="CM102" s="531">
        <f>SUM(CM89:CM100)</f>
        <v>21</v>
      </c>
      <c r="CN102" s="605"/>
    </row>
    <row r="103" spans="1:92" s="517" customFormat="1" ht="15">
      <c r="A103" s="1537"/>
      <c r="B103" s="542" t="s">
        <v>4</v>
      </c>
      <c r="C103" s="532">
        <f>COUNTA(C89:C99)</f>
        <v>3</v>
      </c>
      <c r="D103" s="532">
        <f>COUNTA(D89:D99)</f>
        <v>3</v>
      </c>
      <c r="E103" s="532">
        <f>COUNTA(E89:E99)</f>
        <v>2</v>
      </c>
      <c r="F103" s="532">
        <f>COUNTA(F89:F99)</f>
        <v>2</v>
      </c>
      <c r="G103" s="541">
        <f>SUM(C103:F103)</f>
        <v>10</v>
      </c>
      <c r="H103" s="607"/>
      <c r="I103" s="541">
        <f>SUM(J103:M103)</f>
        <v>9</v>
      </c>
      <c r="J103" s="532">
        <f>COUNTA(J89:J99)</f>
        <v>3</v>
      </c>
      <c r="K103" s="532">
        <f>COUNTA(K89:K99)</f>
        <v>2</v>
      </c>
      <c r="L103" s="532">
        <f>COUNTA(L89:L99)</f>
        <v>2</v>
      </c>
      <c r="M103" s="532">
        <f>COUNTA(M89:M99)</f>
        <v>2</v>
      </c>
      <c r="N103" s="604"/>
      <c r="O103" s="542" t="s">
        <v>4</v>
      </c>
      <c r="P103" s="532">
        <f>COUNTA(P89:P99)</f>
        <v>3</v>
      </c>
      <c r="Q103" s="532">
        <f>COUNTA(Q89:Q99)</f>
        <v>2</v>
      </c>
      <c r="R103" s="532">
        <f>COUNTA(R89:R99)</f>
        <v>2</v>
      </c>
      <c r="S103" s="532">
        <f>COUNTA(S89:S99)</f>
        <v>2</v>
      </c>
      <c r="T103" s="541">
        <f>SUM(P103:S103)</f>
        <v>9</v>
      </c>
      <c r="U103" s="607"/>
      <c r="V103" s="541">
        <f>SUM(W103:Z103)</f>
        <v>8</v>
      </c>
      <c r="W103" s="532">
        <f>COUNTA(W89:W99)</f>
        <v>2</v>
      </c>
      <c r="X103" s="532">
        <f>COUNTA(X89:X99)</f>
        <v>2</v>
      </c>
      <c r="Y103" s="532">
        <f>COUNTA(Y89:Y99)</f>
        <v>2</v>
      </c>
      <c r="Z103" s="532">
        <f>COUNTA(Z89:Z99)</f>
        <v>2</v>
      </c>
      <c r="AA103" s="604"/>
      <c r="AB103" s="542" t="s">
        <v>4</v>
      </c>
      <c r="AC103" s="532">
        <f>COUNTA(AC89:AC99)</f>
        <v>3</v>
      </c>
      <c r="AD103" s="532">
        <f>COUNTA(AD89:AD99)</f>
        <v>2</v>
      </c>
      <c r="AE103" s="532">
        <f>COUNTA(AE89:AE99)</f>
        <v>2</v>
      </c>
      <c r="AF103" s="532">
        <f>COUNTA(AF89:AF99)</f>
        <v>2</v>
      </c>
      <c r="AG103" s="541">
        <f>SUM(AC103:AF103)</f>
        <v>9</v>
      </c>
      <c r="AH103" s="607"/>
      <c r="AI103" s="541">
        <f>SUM(AJ103:AM103)</f>
        <v>9</v>
      </c>
      <c r="AJ103" s="532">
        <f>COUNTA(AJ89:AJ99)</f>
        <v>3</v>
      </c>
      <c r="AK103" s="532">
        <f>COUNTA(AK89:AK99)</f>
        <v>2</v>
      </c>
      <c r="AL103" s="532">
        <f>COUNTA(AL89:AL99)</f>
        <v>2</v>
      </c>
      <c r="AM103" s="532">
        <f>COUNTA(AM89:AM99)</f>
        <v>2</v>
      </c>
      <c r="AN103" s="604"/>
      <c r="AO103" s="542" t="s">
        <v>4</v>
      </c>
      <c r="AP103" s="532">
        <f>COUNTA(AP89:AP99)</f>
        <v>3</v>
      </c>
      <c r="AQ103" s="532">
        <f>COUNTA(AQ89:AQ99)</f>
        <v>3</v>
      </c>
      <c r="AR103" s="532">
        <f>COUNTA(AR89:AR99)</f>
        <v>2</v>
      </c>
      <c r="AS103" s="532">
        <f>COUNTA(AS89:AS99)</f>
        <v>2</v>
      </c>
      <c r="AT103" s="541">
        <f>SUM(AP103:AS103)</f>
        <v>10</v>
      </c>
      <c r="AU103" s="607"/>
      <c r="AV103" s="541">
        <f>SUM(AW103:AZ103)</f>
        <v>9</v>
      </c>
      <c r="AW103" s="532">
        <f>COUNTA(AW89:AW99)</f>
        <v>3</v>
      </c>
      <c r="AX103" s="532">
        <f>COUNTA(AX89:AX99)</f>
        <v>2</v>
      </c>
      <c r="AY103" s="532">
        <f>COUNTA(AY89:AY99)</f>
        <v>2</v>
      </c>
      <c r="AZ103" s="532">
        <f>COUNTA(AZ89:AZ99)</f>
        <v>2</v>
      </c>
      <c r="BA103" s="605"/>
      <c r="BB103" s="536"/>
      <c r="BC103" s="538"/>
      <c r="BD103" s="538"/>
      <c r="BE103" s="538"/>
      <c r="BF103" s="538"/>
      <c r="BG103" s="537"/>
      <c r="BH103" s="604"/>
      <c r="BI103" s="537"/>
      <c r="BJ103" s="520"/>
      <c r="BK103" s="520"/>
      <c r="BL103" s="520"/>
      <c r="BM103" s="520"/>
      <c r="BN103" s="605"/>
      <c r="BO103" s="542" t="s">
        <v>4</v>
      </c>
      <c r="BP103" s="532">
        <f>COUNTA(BP89:BP99)</f>
        <v>3</v>
      </c>
      <c r="BQ103" s="532">
        <f>COUNTA(BQ89:BQ99)</f>
        <v>2</v>
      </c>
      <c r="BR103" s="532">
        <f>COUNTA(BR89:BR99)</f>
        <v>2</v>
      </c>
      <c r="BS103" s="532">
        <f>COUNTA(BS89:BS99)</f>
        <v>2</v>
      </c>
      <c r="BT103" s="541">
        <f>SUM(BP103:BS103)</f>
        <v>9</v>
      </c>
      <c r="BU103" s="607"/>
      <c r="BV103" s="541">
        <f>SUM(BW103:BZ103)</f>
        <v>9</v>
      </c>
      <c r="BW103" s="532">
        <f>COUNTA(BW89:BW99)</f>
        <v>3</v>
      </c>
      <c r="BX103" s="532">
        <f>COUNTA(BX89:BX99)</f>
        <v>2</v>
      </c>
      <c r="BY103" s="532">
        <f>COUNTA(BY89:BY99)</f>
        <v>2</v>
      </c>
      <c r="BZ103" s="532">
        <f>COUNTA(BZ89:BZ99)</f>
        <v>2</v>
      </c>
      <c r="CA103" s="604"/>
      <c r="CB103" s="542" t="s">
        <v>4</v>
      </c>
      <c r="CC103" s="532">
        <f>COUNTA(CC89:CC99)</f>
        <v>3</v>
      </c>
      <c r="CD103" s="532">
        <f>COUNTA(CD89:CD99)</f>
        <v>3</v>
      </c>
      <c r="CE103" s="532">
        <f>COUNTA(CE89:CE99)</f>
        <v>3</v>
      </c>
      <c r="CF103" s="532">
        <f>COUNTA(CF89:CF99)</f>
        <v>2</v>
      </c>
      <c r="CG103" s="541">
        <f>SUM(CC103:CF103)</f>
        <v>11</v>
      </c>
      <c r="CH103" s="607"/>
      <c r="CI103" s="541">
        <f>SUM(CJ103:CM103)</f>
        <v>11</v>
      </c>
      <c r="CJ103" s="532">
        <f>COUNTA(CJ89:CJ99)</f>
        <v>3</v>
      </c>
      <c r="CK103" s="532">
        <f>COUNTA(CK89:CK99)</f>
        <v>3</v>
      </c>
      <c r="CL103" s="532">
        <f>COUNTA(CL89:CL99)</f>
        <v>3</v>
      </c>
      <c r="CM103" s="532">
        <f>COUNTA(CM89:CM99)</f>
        <v>2</v>
      </c>
      <c r="CN103" s="605"/>
    </row>
    <row r="104" spans="1:92" s="517" customFormat="1" ht="15">
      <c r="A104" s="1537"/>
      <c r="B104" s="539" t="s">
        <v>6</v>
      </c>
      <c r="C104" s="531">
        <f>C103-COUNT(C89:C99)</f>
        <v>0</v>
      </c>
      <c r="D104" s="531">
        <f>D103-COUNT(D89:D99)</f>
        <v>1</v>
      </c>
      <c r="E104" s="531">
        <f>E103-COUNT(E89:E99)</f>
        <v>1</v>
      </c>
      <c r="F104" s="531">
        <f>F103-COUNT(F89:F99)</f>
        <v>0</v>
      </c>
      <c r="G104" s="541">
        <f>SUM(C104:F104)</f>
        <v>2</v>
      </c>
      <c r="H104" s="607"/>
      <c r="I104" s="541">
        <f>SUM(J104:M104)</f>
        <v>1</v>
      </c>
      <c r="J104" s="531">
        <f>J103-COUNT(J89:J99)</f>
        <v>0</v>
      </c>
      <c r="K104" s="540">
        <f>K103-COUNT(K89:K99)</f>
        <v>0</v>
      </c>
      <c r="L104" s="540">
        <f>L103-COUNT(L89:L99)</f>
        <v>1</v>
      </c>
      <c r="M104" s="531">
        <f>M103-COUNT(M89:M99)</f>
        <v>0</v>
      </c>
      <c r="N104" s="604"/>
      <c r="O104" s="539" t="s">
        <v>6</v>
      </c>
      <c r="P104" s="531">
        <f>P103-COUNT(P89:P99)</f>
        <v>0</v>
      </c>
      <c r="Q104" s="531">
        <f>Q103-COUNT(Q89:Q99)</f>
        <v>0</v>
      </c>
      <c r="R104" s="531">
        <f>R103-COUNT(R89:R99)</f>
        <v>0</v>
      </c>
      <c r="S104" s="531">
        <f>S103-COUNT(S89:S99)</f>
        <v>1</v>
      </c>
      <c r="T104" s="541">
        <f>SUM(P104:S104)</f>
        <v>1</v>
      </c>
      <c r="U104" s="607"/>
      <c r="V104" s="541">
        <f>SUM(W104:Z104)</f>
        <v>2</v>
      </c>
      <c r="W104" s="531">
        <f>W103-COUNT(W89:W99)</f>
        <v>0</v>
      </c>
      <c r="X104" s="540">
        <f>X103-COUNT(X89:X99)</f>
        <v>1</v>
      </c>
      <c r="Y104" s="540">
        <f>Y103-COUNT(Y89:Y99)</f>
        <v>0</v>
      </c>
      <c r="Z104" s="531">
        <f>Z103-COUNT(Z89:Z99)</f>
        <v>1</v>
      </c>
      <c r="AA104" s="604"/>
      <c r="AB104" s="539" t="s">
        <v>6</v>
      </c>
      <c r="AC104" s="531">
        <f>AC103-COUNT(AC89:AC99)</f>
        <v>0</v>
      </c>
      <c r="AD104" s="531">
        <f>AD103-COUNT(AD89:AD99)</f>
        <v>0</v>
      </c>
      <c r="AE104" s="531">
        <f>AE103-COUNT(AE89:AE99)</f>
        <v>1</v>
      </c>
      <c r="AF104" s="531">
        <f>AF103-COUNT(AF89:AF99)</f>
        <v>1</v>
      </c>
      <c r="AG104" s="541">
        <f>SUM(AC104:AF104)</f>
        <v>2</v>
      </c>
      <c r="AH104" s="607"/>
      <c r="AI104" s="541">
        <f>SUM(AJ104:AM104)</f>
        <v>2</v>
      </c>
      <c r="AJ104" s="531">
        <f>AJ103-COUNT(AJ89:AJ99)</f>
        <v>0</v>
      </c>
      <c r="AK104" s="540">
        <f>AK103-COUNT(AK89:AK99)</f>
        <v>1</v>
      </c>
      <c r="AL104" s="540">
        <f>AL103-COUNT(AL89:AL99)</f>
        <v>0</v>
      </c>
      <c r="AM104" s="531">
        <f>AM103-COUNT(AM89:AM99)</f>
        <v>1</v>
      </c>
      <c r="AN104" s="604"/>
      <c r="AO104" s="539" t="s">
        <v>6</v>
      </c>
      <c r="AP104" s="531">
        <f>AP103-COUNT(AP89:AP99)</f>
        <v>1</v>
      </c>
      <c r="AQ104" s="531">
        <f>AQ103-COUNT(AQ89:AQ99)</f>
        <v>0</v>
      </c>
      <c r="AR104" s="531">
        <f>AR103-COUNT(AR89:AR99)</f>
        <v>1</v>
      </c>
      <c r="AS104" s="531">
        <f>AS103-COUNT(AS89:AS99)</f>
        <v>1</v>
      </c>
      <c r="AT104" s="541">
        <f>SUM(AP104:AS104)</f>
        <v>3</v>
      </c>
      <c r="AU104" s="607"/>
      <c r="AV104" s="541">
        <f>SUM(AW104:AZ104)</f>
        <v>2</v>
      </c>
      <c r="AW104" s="531">
        <f>AW103-COUNT(AW89:AW99)</f>
        <v>0</v>
      </c>
      <c r="AX104" s="540">
        <f>AX103-COUNT(AX89:AX99)</f>
        <v>1</v>
      </c>
      <c r="AY104" s="540">
        <f>AY103-COUNT(AY89:AY99)</f>
        <v>1</v>
      </c>
      <c r="AZ104" s="531">
        <f>AZ103-COUNT(AZ89:AZ99)</f>
        <v>0</v>
      </c>
      <c r="BA104" s="605"/>
      <c r="BB104" s="536"/>
      <c r="BC104" s="543"/>
      <c r="BD104" s="545"/>
      <c r="BE104" s="545"/>
      <c r="BF104" s="545"/>
      <c r="BG104" s="544"/>
      <c r="BH104" s="604"/>
      <c r="BI104" s="544"/>
      <c r="BJ104" s="543"/>
      <c r="BK104" s="543"/>
      <c r="BL104" s="543"/>
      <c r="BM104" s="543"/>
      <c r="BN104" s="605"/>
      <c r="BO104" s="539" t="s">
        <v>6</v>
      </c>
      <c r="BP104" s="531">
        <f>BP103-COUNT(BP89:BP99)</f>
        <v>1</v>
      </c>
      <c r="BQ104" s="531">
        <f>BQ103-COUNT(BQ89:BQ99)</f>
        <v>2</v>
      </c>
      <c r="BR104" s="531">
        <f>BR103-COUNT(BR89:BR99)</f>
        <v>1</v>
      </c>
      <c r="BS104" s="531">
        <f>BS103-COUNT(BS89:BS99)</f>
        <v>0</v>
      </c>
      <c r="BT104" s="541">
        <f>SUM(BP104:BS104)</f>
        <v>4</v>
      </c>
      <c r="BU104" s="607"/>
      <c r="BV104" s="541">
        <f>SUM(BW104:BZ104)</f>
        <v>1</v>
      </c>
      <c r="BW104" s="531">
        <f>BW103-COUNT(BW89:BW99)</f>
        <v>1</v>
      </c>
      <c r="BX104" s="540">
        <f>BX103-COUNT(BX89:BX99)</f>
        <v>0</v>
      </c>
      <c r="BY104" s="540">
        <f>BY103-COUNT(BY89:BY99)</f>
        <v>0</v>
      </c>
      <c r="BZ104" s="531">
        <f>BZ103-COUNT(BZ89:BZ99)</f>
        <v>0</v>
      </c>
      <c r="CA104" s="604"/>
      <c r="CB104" s="539" t="s">
        <v>6</v>
      </c>
      <c r="CC104" s="531">
        <f>CC103-COUNT(CC89:CC99)</f>
        <v>0</v>
      </c>
      <c r="CD104" s="531">
        <f>CD103-COUNT(CD89:CD99)</f>
        <v>1</v>
      </c>
      <c r="CE104" s="531">
        <f>CE103-COUNT(CE89:CE99)</f>
        <v>2</v>
      </c>
      <c r="CF104" s="531">
        <f>CF103-COUNT(CF89:CF99)</f>
        <v>1</v>
      </c>
      <c r="CG104" s="541">
        <f>SUM(CC104:CF104)</f>
        <v>4</v>
      </c>
      <c r="CH104" s="607"/>
      <c r="CI104" s="541">
        <f>SUM(CJ104:CM104)</f>
        <v>5</v>
      </c>
      <c r="CJ104" s="531">
        <f>CJ103-COUNT(CJ89:CJ99)</f>
        <v>1</v>
      </c>
      <c r="CK104" s="540">
        <f>CK103-COUNT(CK89:CK99)</f>
        <v>2</v>
      </c>
      <c r="CL104" s="540">
        <f>CL103-COUNT(CL89:CL99)</f>
        <v>2</v>
      </c>
      <c r="CM104" s="531">
        <f>CM103-COUNT(CM89:CM99)</f>
        <v>0</v>
      </c>
      <c r="CN104" s="605"/>
    </row>
    <row r="105" spans="1:92" s="517" customFormat="1" ht="15">
      <c r="A105" s="1537"/>
      <c r="B105" s="539" t="s">
        <v>12</v>
      </c>
      <c r="C105" s="549">
        <f>C104/C103</f>
        <v>0</v>
      </c>
      <c r="D105" s="546">
        <f>D104/D103</f>
        <v>0.33333333333333331</v>
      </c>
      <c r="E105" s="546">
        <f>E104/E103</f>
        <v>0.5</v>
      </c>
      <c r="F105" s="546">
        <f>F104/F103</f>
        <v>0</v>
      </c>
      <c r="G105" s="548">
        <f>G104/G103</f>
        <v>0.2</v>
      </c>
      <c r="H105" s="607"/>
      <c r="I105" s="548">
        <f>I104/I103</f>
        <v>0.1111111111111111</v>
      </c>
      <c r="J105" s="546">
        <f>J104/J103</f>
        <v>0</v>
      </c>
      <c r="K105" s="547">
        <f>K104/K103</f>
        <v>0</v>
      </c>
      <c r="L105" s="547">
        <f>L104/L103</f>
        <v>0.5</v>
      </c>
      <c r="M105" s="546">
        <f>M104/M103</f>
        <v>0</v>
      </c>
      <c r="N105" s="604"/>
      <c r="O105" s="539" t="s">
        <v>12</v>
      </c>
      <c r="P105" s="549">
        <f>P104/P103</f>
        <v>0</v>
      </c>
      <c r="Q105" s="546">
        <f>Q104/Q103</f>
        <v>0</v>
      </c>
      <c r="R105" s="546">
        <f>R104/R103</f>
        <v>0</v>
      </c>
      <c r="S105" s="546">
        <f>S104/S103</f>
        <v>0.5</v>
      </c>
      <c r="T105" s="548">
        <f>T104/T103</f>
        <v>0.1111111111111111</v>
      </c>
      <c r="U105" s="607"/>
      <c r="V105" s="548">
        <f>V104/V103</f>
        <v>0.25</v>
      </c>
      <c r="W105" s="546">
        <f>W104/W103</f>
        <v>0</v>
      </c>
      <c r="X105" s="547">
        <f>X104/X103</f>
        <v>0.5</v>
      </c>
      <c r="Y105" s="547">
        <f>Y104/Y103</f>
        <v>0</v>
      </c>
      <c r="Z105" s="546">
        <f>Z104/Z103</f>
        <v>0.5</v>
      </c>
      <c r="AA105" s="604"/>
      <c r="AB105" s="539" t="s">
        <v>12</v>
      </c>
      <c r="AC105" s="549">
        <f>AC104/AC103</f>
        <v>0</v>
      </c>
      <c r="AD105" s="546">
        <f>AD104/AD103</f>
        <v>0</v>
      </c>
      <c r="AE105" s="546">
        <f>AE104/AE103</f>
        <v>0.5</v>
      </c>
      <c r="AF105" s="546">
        <f>AF104/AF103</f>
        <v>0.5</v>
      </c>
      <c r="AG105" s="548">
        <f>AG104/AG103</f>
        <v>0.22222222222222221</v>
      </c>
      <c r="AH105" s="607"/>
      <c r="AI105" s="548">
        <f>AI104/AI103</f>
        <v>0.22222222222222221</v>
      </c>
      <c r="AJ105" s="546">
        <f>AJ104/AJ103</f>
        <v>0</v>
      </c>
      <c r="AK105" s="547">
        <f>AK104/AK103</f>
        <v>0.5</v>
      </c>
      <c r="AL105" s="547">
        <f>AL104/AL103</f>
        <v>0</v>
      </c>
      <c r="AM105" s="546">
        <f>AM104/AM103</f>
        <v>0.5</v>
      </c>
      <c r="AN105" s="604"/>
      <c r="AO105" s="539" t="s">
        <v>12</v>
      </c>
      <c r="AP105" s="549">
        <f>AP104/AP103</f>
        <v>0.33333333333333331</v>
      </c>
      <c r="AQ105" s="546">
        <f>AQ104/AQ103</f>
        <v>0</v>
      </c>
      <c r="AR105" s="546">
        <f>AR104/AR103</f>
        <v>0.5</v>
      </c>
      <c r="AS105" s="546">
        <f>AS104/AS103</f>
        <v>0.5</v>
      </c>
      <c r="AT105" s="548">
        <f>AT104/AT103</f>
        <v>0.3</v>
      </c>
      <c r="AU105" s="607"/>
      <c r="AV105" s="548">
        <f>AV104/AV103</f>
        <v>0.22222222222222221</v>
      </c>
      <c r="AW105" s="546">
        <f>AW104/AW103</f>
        <v>0</v>
      </c>
      <c r="AX105" s="547">
        <f>AX104/AX103</f>
        <v>0.5</v>
      </c>
      <c r="AY105" s="547">
        <f>AY104/AY103</f>
        <v>0.5</v>
      </c>
      <c r="AZ105" s="546">
        <f>AZ104/AZ103</f>
        <v>0</v>
      </c>
      <c r="BA105" s="605"/>
      <c r="BB105" s="536"/>
      <c r="BC105" s="550"/>
      <c r="BD105" s="552"/>
      <c r="BE105" s="552"/>
      <c r="BF105" s="550"/>
      <c r="BG105" s="551"/>
      <c r="BH105" s="604"/>
      <c r="BI105" s="551"/>
      <c r="BJ105" s="550"/>
      <c r="BK105" s="550"/>
      <c r="BL105" s="550"/>
      <c r="BM105" s="550"/>
      <c r="BN105" s="605"/>
      <c r="BO105" s="539" t="s">
        <v>12</v>
      </c>
      <c r="BP105" s="549">
        <f>BP104/BP103</f>
        <v>0.33333333333333331</v>
      </c>
      <c r="BQ105" s="546">
        <f>BQ104/BQ103</f>
        <v>1</v>
      </c>
      <c r="BR105" s="546">
        <f>BR104/BR103</f>
        <v>0.5</v>
      </c>
      <c r="BS105" s="546">
        <f>BS104/BS103</f>
        <v>0</v>
      </c>
      <c r="BT105" s="548">
        <f>BT104/BT103</f>
        <v>0.44444444444444442</v>
      </c>
      <c r="BU105" s="607"/>
      <c r="BV105" s="548">
        <f>BV104/BV103</f>
        <v>0.1111111111111111</v>
      </c>
      <c r="BW105" s="546">
        <f>BW104/BW103</f>
        <v>0.33333333333333331</v>
      </c>
      <c r="BX105" s="547">
        <f>BX104/BX103</f>
        <v>0</v>
      </c>
      <c r="BY105" s="547">
        <f>BY104/BY103</f>
        <v>0</v>
      </c>
      <c r="BZ105" s="546">
        <f>BZ104/BZ103</f>
        <v>0</v>
      </c>
      <c r="CA105" s="604"/>
      <c r="CB105" s="539" t="s">
        <v>12</v>
      </c>
      <c r="CC105" s="549">
        <f>CC104/CC103</f>
        <v>0</v>
      </c>
      <c r="CD105" s="546">
        <f>CD104/CD103</f>
        <v>0.33333333333333331</v>
      </c>
      <c r="CE105" s="546">
        <f>CE104/CE103</f>
        <v>0.66666666666666663</v>
      </c>
      <c r="CF105" s="546">
        <f>CF104/CF103</f>
        <v>0.5</v>
      </c>
      <c r="CG105" s="548">
        <f>CG104/CG103</f>
        <v>0.36363636363636365</v>
      </c>
      <c r="CH105" s="607"/>
      <c r="CI105" s="548">
        <f>CI104/CI103</f>
        <v>0.45454545454545453</v>
      </c>
      <c r="CJ105" s="546">
        <f>CJ104/CJ103</f>
        <v>0.33333333333333331</v>
      </c>
      <c r="CK105" s="547">
        <f>CK104/CK103</f>
        <v>0.66666666666666663</v>
      </c>
      <c r="CL105" s="547">
        <f>CL104/CL103</f>
        <v>0.66666666666666663</v>
      </c>
      <c r="CM105" s="546">
        <f>CM104/CM103</f>
        <v>0</v>
      </c>
      <c r="CN105" s="605"/>
    </row>
    <row r="106" spans="1:92" s="517" customFormat="1" ht="15">
      <c r="A106" s="1537"/>
      <c r="B106" s="539" t="s">
        <v>5</v>
      </c>
      <c r="C106" s="553">
        <f>C102/C103</f>
        <v>8</v>
      </c>
      <c r="D106" s="553">
        <f>D102/D103</f>
        <v>2.3333333333333335</v>
      </c>
      <c r="E106" s="553">
        <f>E102/E103</f>
        <v>4</v>
      </c>
      <c r="F106" s="553">
        <f>F102/F103</f>
        <v>5.5</v>
      </c>
      <c r="G106" s="555">
        <f>G102/G103</f>
        <v>5</v>
      </c>
      <c r="H106" s="607"/>
      <c r="I106" s="555">
        <f>I102/I103</f>
        <v>5.333333333333333</v>
      </c>
      <c r="J106" s="553">
        <f>J102/J103</f>
        <v>2.3333333333333335</v>
      </c>
      <c r="K106" s="553">
        <f>K102/K103</f>
        <v>10.5</v>
      </c>
      <c r="L106" s="553">
        <f>L102/L103</f>
        <v>1</v>
      </c>
      <c r="M106" s="554">
        <f>M102/M103</f>
        <v>9</v>
      </c>
      <c r="N106" s="604"/>
      <c r="O106" s="539" t="s">
        <v>5</v>
      </c>
      <c r="P106" s="553">
        <f>P102/P103</f>
        <v>10</v>
      </c>
      <c r="Q106" s="553">
        <f>Q102/Q103</f>
        <v>5</v>
      </c>
      <c r="R106" s="553">
        <f>R102/R103</f>
        <v>4</v>
      </c>
      <c r="S106" s="553">
        <f>S102/S103</f>
        <v>1</v>
      </c>
      <c r="T106" s="555">
        <f>T102/T103</f>
        <v>5.5555555555555554</v>
      </c>
      <c r="U106" s="607"/>
      <c r="V106" s="555">
        <f>V102/V103</f>
        <v>5.625</v>
      </c>
      <c r="W106" s="553">
        <f>W102/W103</f>
        <v>7.5</v>
      </c>
      <c r="X106" s="553">
        <f>X102/X103</f>
        <v>3</v>
      </c>
      <c r="Y106" s="553">
        <f>Y102/Y103</f>
        <v>6</v>
      </c>
      <c r="Z106" s="554">
        <f>Z102/Z103</f>
        <v>6</v>
      </c>
      <c r="AA106" s="604"/>
      <c r="AB106" s="539" t="s">
        <v>5</v>
      </c>
      <c r="AC106" s="553">
        <f>AC102/AC103</f>
        <v>7.333333333333333</v>
      </c>
      <c r="AD106" s="553">
        <f>AD102/AD103</f>
        <v>4.5</v>
      </c>
      <c r="AE106" s="553">
        <f>AE102/AE103</f>
        <v>2.5</v>
      </c>
      <c r="AF106" s="553">
        <f>AF102/AF103</f>
        <v>3.5</v>
      </c>
      <c r="AG106" s="555">
        <f>AG102/AG103</f>
        <v>4.7777777777777777</v>
      </c>
      <c r="AH106" s="607"/>
      <c r="AI106" s="555">
        <f>AI102/AI103</f>
        <v>5.5555555555555554</v>
      </c>
      <c r="AJ106" s="553">
        <f>AJ102/AJ103</f>
        <v>7.666666666666667</v>
      </c>
      <c r="AK106" s="553">
        <f>AK102/AK103</f>
        <v>3</v>
      </c>
      <c r="AL106" s="553">
        <f>AL102/AL103</f>
        <v>10</v>
      </c>
      <c r="AM106" s="554">
        <f>AM102/AM103</f>
        <v>0.5</v>
      </c>
      <c r="AN106" s="604"/>
      <c r="AO106" s="539" t="s">
        <v>5</v>
      </c>
      <c r="AP106" s="553">
        <f>AP102/AP103</f>
        <v>7.333333333333333</v>
      </c>
      <c r="AQ106" s="553">
        <f>AQ102/AQ103</f>
        <v>5</v>
      </c>
      <c r="AR106" s="553">
        <f>AR102/AR103</f>
        <v>5</v>
      </c>
      <c r="AS106" s="553">
        <f>AS102/AS103</f>
        <v>1.5</v>
      </c>
      <c r="AT106" s="555">
        <f>AT102/AT103</f>
        <v>5</v>
      </c>
      <c r="AU106" s="607"/>
      <c r="AV106" s="555">
        <f>AV102/AV103</f>
        <v>5.2222222222222223</v>
      </c>
      <c r="AW106" s="553">
        <f>AW102/AW103</f>
        <v>7.666666666666667</v>
      </c>
      <c r="AX106" s="553">
        <f>AX102/AX103</f>
        <v>3.5</v>
      </c>
      <c r="AY106" s="553">
        <f>AY102/AY103</f>
        <v>6</v>
      </c>
      <c r="AZ106" s="554">
        <f>AZ102/AZ103</f>
        <v>2.5</v>
      </c>
      <c r="BA106" s="605"/>
      <c r="BB106" s="536"/>
      <c r="BC106" s="550"/>
      <c r="BD106" s="552"/>
      <c r="BE106" s="552"/>
      <c r="BF106" s="556"/>
      <c r="BG106" s="557"/>
      <c r="BH106" s="604"/>
      <c r="BI106" s="557"/>
      <c r="BJ106" s="556"/>
      <c r="BK106" s="556"/>
      <c r="BL106" s="556"/>
      <c r="BM106" s="556"/>
      <c r="BN106" s="605"/>
      <c r="BO106" s="539" t="s">
        <v>5</v>
      </c>
      <c r="BP106" s="553">
        <f>BP102/BP103</f>
        <v>7</v>
      </c>
      <c r="BQ106" s="553">
        <f>BQ102/BQ103</f>
        <v>0</v>
      </c>
      <c r="BR106" s="553">
        <f>BR102/BR103</f>
        <v>4</v>
      </c>
      <c r="BS106" s="553">
        <f>BS102/BS103</f>
        <v>2</v>
      </c>
      <c r="BT106" s="555">
        <f>BT102/BT103</f>
        <v>3.6666666666666665</v>
      </c>
      <c r="BU106" s="607"/>
      <c r="BV106" s="555">
        <f>BV102/BV103</f>
        <v>5.5555555555555554</v>
      </c>
      <c r="BW106" s="553">
        <f>BW102/BW103</f>
        <v>5.333333333333333</v>
      </c>
      <c r="BX106" s="553">
        <f>BX102/BX103</f>
        <v>3.5</v>
      </c>
      <c r="BY106" s="553">
        <f>BY102/BY103</f>
        <v>9.5</v>
      </c>
      <c r="BZ106" s="554">
        <f>BZ102/BZ103</f>
        <v>4</v>
      </c>
      <c r="CA106" s="604"/>
      <c r="CB106" s="539" t="s">
        <v>5</v>
      </c>
      <c r="CC106" s="553">
        <f>CC102/CC103</f>
        <v>6.666666666666667</v>
      </c>
      <c r="CD106" s="553">
        <f>CD102/CD103</f>
        <v>7.333333333333333</v>
      </c>
      <c r="CE106" s="553">
        <f>CE102/CE103</f>
        <v>1</v>
      </c>
      <c r="CF106" s="553">
        <f>CF102/CF103</f>
        <v>2.5</v>
      </c>
      <c r="CG106" s="555">
        <f>CG102/CG103</f>
        <v>4.5454545454545459</v>
      </c>
      <c r="CH106" s="607"/>
      <c r="CI106" s="555">
        <f>CI102/CI103</f>
        <v>3</v>
      </c>
      <c r="CJ106" s="553">
        <f>CJ102/CJ103</f>
        <v>2.6666666666666665</v>
      </c>
      <c r="CK106" s="553">
        <f>CK102/CK103</f>
        <v>0.66666666666666663</v>
      </c>
      <c r="CL106" s="553">
        <f>CL102/CL103</f>
        <v>0.66666666666666663</v>
      </c>
      <c r="CM106" s="554">
        <f>CM102/CM103</f>
        <v>10.5</v>
      </c>
      <c r="CN106" s="605"/>
    </row>
    <row r="107" spans="1:92" s="517" customFormat="1" ht="15">
      <c r="A107" s="1537"/>
      <c r="B107" s="539" t="s">
        <v>8</v>
      </c>
      <c r="C107" s="558">
        <f>C102/(C103-C104)</f>
        <v>8</v>
      </c>
      <c r="D107" s="558">
        <f>D102/(D103-D104)</f>
        <v>3.5</v>
      </c>
      <c r="E107" s="558">
        <f>E102/(E103-E104)</f>
        <v>8</v>
      </c>
      <c r="F107" s="558">
        <f>F102/(F103-F104)</f>
        <v>5.5</v>
      </c>
      <c r="G107" s="559">
        <f>G102/(G103-G104)</f>
        <v>6.25</v>
      </c>
      <c r="H107" s="607"/>
      <c r="I107" s="559">
        <f>I102/(I103-I104)</f>
        <v>6</v>
      </c>
      <c r="J107" s="558">
        <f>J102/(J103-J104)</f>
        <v>2.3333333333333335</v>
      </c>
      <c r="K107" s="553">
        <f>K102/(K103-K104)</f>
        <v>10.5</v>
      </c>
      <c r="L107" s="553">
        <f>L102/(L103-L104)</f>
        <v>2</v>
      </c>
      <c r="M107" s="554">
        <f>M102/(M103-M104)</f>
        <v>9</v>
      </c>
      <c r="N107" s="604"/>
      <c r="O107" s="539" t="s">
        <v>8</v>
      </c>
      <c r="P107" s="558">
        <f>P102/(P103-P104)</f>
        <v>10</v>
      </c>
      <c r="Q107" s="558">
        <f>Q102/(Q103-Q104)</f>
        <v>5</v>
      </c>
      <c r="R107" s="558">
        <f>R102/(R103-R104)</f>
        <v>4</v>
      </c>
      <c r="S107" s="558">
        <f>S102/(S103-S104)</f>
        <v>2</v>
      </c>
      <c r="T107" s="559">
        <f>T102/(T103-T104)</f>
        <v>6.25</v>
      </c>
      <c r="U107" s="607"/>
      <c r="V107" s="559">
        <f>V102/(V103-V104)</f>
        <v>7.5</v>
      </c>
      <c r="W107" s="558">
        <f>W102/(W103-W104)</f>
        <v>7.5</v>
      </c>
      <c r="X107" s="553">
        <f>X102/(X103-X104)</f>
        <v>6</v>
      </c>
      <c r="Y107" s="553">
        <f>Y102/(Y103-Y104)</f>
        <v>6</v>
      </c>
      <c r="Z107" s="554">
        <f>Z102/(Z103-Z104)</f>
        <v>12</v>
      </c>
      <c r="AA107" s="604"/>
      <c r="AB107" s="539" t="s">
        <v>8</v>
      </c>
      <c r="AC107" s="558">
        <f>AC102/(AC103-AC104)</f>
        <v>7.333333333333333</v>
      </c>
      <c r="AD107" s="558">
        <f>AD102/(AD103-AD104)</f>
        <v>4.5</v>
      </c>
      <c r="AE107" s="558">
        <f>AE102/(AE103-AE104)</f>
        <v>5</v>
      </c>
      <c r="AF107" s="558">
        <f>AF102/(AF103-AF104)</f>
        <v>7</v>
      </c>
      <c r="AG107" s="559">
        <f>AG102/(AG103-AG104)</f>
        <v>6.1428571428571432</v>
      </c>
      <c r="AH107" s="607"/>
      <c r="AI107" s="559">
        <f>AI102/(AI103-AI104)</f>
        <v>7.1428571428571432</v>
      </c>
      <c r="AJ107" s="558">
        <f>AJ102/(AJ103-AJ104)</f>
        <v>7.666666666666667</v>
      </c>
      <c r="AK107" s="553">
        <f>AK102/(AK103-AK104)</f>
        <v>6</v>
      </c>
      <c r="AL107" s="553">
        <f>AL102/(AL103-AL104)</f>
        <v>10</v>
      </c>
      <c r="AM107" s="554">
        <f>AM102/(AM103-AM104)</f>
        <v>1</v>
      </c>
      <c r="AN107" s="604"/>
      <c r="AO107" s="539" t="s">
        <v>8</v>
      </c>
      <c r="AP107" s="558">
        <f>AP102/(AP103-AP104)</f>
        <v>11</v>
      </c>
      <c r="AQ107" s="558">
        <f>AQ102/(AQ103-AQ104)</f>
        <v>5</v>
      </c>
      <c r="AR107" s="558">
        <f>AR102/(AR103-AR104)</f>
        <v>10</v>
      </c>
      <c r="AS107" s="558">
        <f>AS102/(AS103-AS104)</f>
        <v>3</v>
      </c>
      <c r="AT107" s="559">
        <f>AT102/(AT103-AT104)</f>
        <v>7.1428571428571432</v>
      </c>
      <c r="AU107" s="607"/>
      <c r="AV107" s="559">
        <f>AV102/(AV103-AV104)</f>
        <v>6.7142857142857144</v>
      </c>
      <c r="AW107" s="558">
        <f>AW102/(AW103-AW104)</f>
        <v>7.666666666666667</v>
      </c>
      <c r="AX107" s="553">
        <f>AX102/(AX103-AX104)</f>
        <v>7</v>
      </c>
      <c r="AY107" s="553">
        <f>AY102/(AY103-AY104)</f>
        <v>12</v>
      </c>
      <c r="AZ107" s="554">
        <f>AZ102/(AZ103-AZ104)</f>
        <v>2.5</v>
      </c>
      <c r="BA107" s="605"/>
      <c r="BB107" s="604"/>
      <c r="BC107" s="604"/>
      <c r="BD107" s="604"/>
      <c r="BE107" s="604"/>
      <c r="BF107" s="604"/>
      <c r="BG107" s="604"/>
      <c r="BH107" s="604"/>
      <c r="BI107" s="604"/>
      <c r="BJ107" s="604"/>
      <c r="BK107" s="604"/>
      <c r="BL107" s="604"/>
      <c r="BM107" s="604"/>
      <c r="BN107" s="605"/>
      <c r="BO107" s="539" t="s">
        <v>8</v>
      </c>
      <c r="BP107" s="558">
        <f>BP102/(BP103-BP104)</f>
        <v>10.5</v>
      </c>
      <c r="BQ107" s="660">
        <v>0</v>
      </c>
      <c r="BR107" s="558">
        <f>BR102/(BR103-BR104)</f>
        <v>8</v>
      </c>
      <c r="BS107" s="558">
        <f>BS102/(BS103-BS104)</f>
        <v>2</v>
      </c>
      <c r="BT107" s="559">
        <f>BT102/(BT103-BT104)</f>
        <v>6.6</v>
      </c>
      <c r="BU107" s="607"/>
      <c r="BV107" s="559">
        <f>BV102/(BV103-BV104)</f>
        <v>6.25</v>
      </c>
      <c r="BW107" s="558">
        <f>BW102/(BW103-BW104)</f>
        <v>8</v>
      </c>
      <c r="BX107" s="553">
        <f>BX102/(BX103-BX104)</f>
        <v>3.5</v>
      </c>
      <c r="BY107" s="553">
        <f>BY102/(BY103-BY104)</f>
        <v>9.5</v>
      </c>
      <c r="BZ107" s="554">
        <f>BZ102/(BZ103-BZ104)</f>
        <v>4</v>
      </c>
      <c r="CA107" s="604"/>
      <c r="CB107" s="539" t="s">
        <v>8</v>
      </c>
      <c r="CC107" s="558">
        <f>CC102/(CC103-CC104)</f>
        <v>6.666666666666667</v>
      </c>
      <c r="CD107" s="558">
        <f>CD102/(CD103-CD104)</f>
        <v>11</v>
      </c>
      <c r="CE107" s="558">
        <f>CE102/(CE103-CE104)</f>
        <v>3</v>
      </c>
      <c r="CF107" s="558">
        <f>CF102/(CF103-CF104)</f>
        <v>5</v>
      </c>
      <c r="CG107" s="559">
        <f>CG102/(CG103-CG104)</f>
        <v>7.1428571428571432</v>
      </c>
      <c r="CH107" s="607"/>
      <c r="CI107" s="559">
        <f>CI102/(CI103-CI104)</f>
        <v>5.5</v>
      </c>
      <c r="CJ107" s="558">
        <f>CJ102/(CJ103-CJ104)</f>
        <v>4</v>
      </c>
      <c r="CK107" s="553">
        <f>CK102/(CK103-CK104)</f>
        <v>2</v>
      </c>
      <c r="CL107" s="553">
        <f>CL102/(CL103-CL104)</f>
        <v>2</v>
      </c>
      <c r="CM107" s="554">
        <f>CM102/(CM103-CM104)</f>
        <v>10.5</v>
      </c>
      <c r="CN107" s="605"/>
    </row>
    <row r="108" spans="1:92" s="517" customFormat="1" ht="15">
      <c r="A108" s="617"/>
      <c r="B108" s="529"/>
      <c r="C108" s="518"/>
      <c r="D108" s="518"/>
      <c r="E108" s="518"/>
      <c r="F108" s="518"/>
      <c r="G108" s="606"/>
      <c r="H108" s="604"/>
      <c r="I108" s="604"/>
      <c r="J108" s="604"/>
      <c r="K108" s="604"/>
      <c r="L108" s="604"/>
      <c r="M108" s="604"/>
      <c r="N108" s="604"/>
      <c r="O108" s="529"/>
      <c r="P108" s="518"/>
      <c r="Q108" s="518"/>
      <c r="R108" s="518"/>
      <c r="S108" s="518"/>
      <c r="T108" s="606"/>
      <c r="U108" s="604"/>
      <c r="V108" s="604"/>
      <c r="W108" s="604"/>
      <c r="X108" s="604"/>
      <c r="Y108" s="604"/>
      <c r="Z108" s="604"/>
      <c r="AA108" s="604"/>
      <c r="AB108" s="529"/>
      <c r="AC108" s="518"/>
      <c r="AD108" s="518"/>
      <c r="AE108" s="518"/>
      <c r="AF108" s="518"/>
      <c r="AG108" s="606"/>
      <c r="AH108" s="604"/>
      <c r="AI108" s="604"/>
      <c r="AJ108" s="604"/>
      <c r="AK108" s="604"/>
      <c r="AL108" s="604"/>
      <c r="AM108" s="604"/>
      <c r="AN108" s="604"/>
      <c r="AO108" s="529"/>
      <c r="AP108" s="518"/>
      <c r="AQ108" s="518"/>
      <c r="AR108" s="518"/>
      <c r="AS108" s="518"/>
      <c r="AT108" s="606"/>
      <c r="AU108" s="604"/>
      <c r="AV108" s="604"/>
      <c r="AW108" s="604"/>
      <c r="AX108" s="604"/>
      <c r="AY108" s="604"/>
      <c r="AZ108" s="604"/>
      <c r="BA108" s="605"/>
      <c r="BB108" s="604"/>
      <c r="BC108" s="604"/>
      <c r="BD108" s="604"/>
      <c r="BE108" s="604"/>
      <c r="BF108" s="604"/>
      <c r="BG108" s="604"/>
      <c r="BH108" s="604"/>
      <c r="BI108" s="604"/>
      <c r="BJ108" s="604"/>
      <c r="BK108" s="604"/>
      <c r="BL108" s="604"/>
      <c r="BM108" s="604"/>
      <c r="BN108" s="605"/>
      <c r="BO108" s="604"/>
      <c r="BP108" s="604"/>
      <c r="BQ108" s="604"/>
      <c r="BR108" s="604"/>
      <c r="BS108" s="604"/>
      <c r="BT108" s="604"/>
      <c r="BU108" s="604"/>
      <c r="BV108" s="604"/>
      <c r="BW108" s="604"/>
      <c r="BX108" s="604"/>
      <c r="BY108" s="604"/>
      <c r="BZ108" s="604"/>
      <c r="CA108" s="605"/>
      <c r="CB108" s="604"/>
      <c r="CC108" s="604"/>
      <c r="CD108" s="604"/>
      <c r="CE108" s="604"/>
      <c r="CF108" s="604"/>
      <c r="CG108" s="604"/>
      <c r="CH108" s="604"/>
      <c r="CI108" s="604"/>
      <c r="CJ108" s="604"/>
      <c r="CK108" s="604"/>
      <c r="CL108" s="604"/>
      <c r="CM108" s="604"/>
      <c r="CN108" s="605"/>
    </row>
    <row r="109" spans="1:92" s="517" customFormat="1">
      <c r="A109" s="1537" t="s">
        <v>105</v>
      </c>
      <c r="B109" s="607"/>
      <c r="C109" s="1535" t="s">
        <v>105</v>
      </c>
      <c r="D109" s="1535"/>
      <c r="E109" s="1535"/>
      <c r="F109" s="1535"/>
      <c r="G109" s="607"/>
      <c r="H109" s="607"/>
      <c r="I109" s="607"/>
      <c r="J109" s="1536" t="s">
        <v>117</v>
      </c>
      <c r="K109" s="1536"/>
      <c r="L109" s="1536"/>
      <c r="M109" s="1536"/>
      <c r="N109" s="604"/>
      <c r="O109" s="607"/>
      <c r="P109" s="1535" t="s">
        <v>105</v>
      </c>
      <c r="Q109" s="1535"/>
      <c r="R109" s="1535"/>
      <c r="S109" s="1535"/>
      <c r="T109" s="607"/>
      <c r="U109" s="607"/>
      <c r="V109" s="607"/>
      <c r="W109" s="1536" t="s">
        <v>103</v>
      </c>
      <c r="X109" s="1536"/>
      <c r="Y109" s="1536"/>
      <c r="Z109" s="1536"/>
      <c r="AA109" s="604"/>
      <c r="AB109" s="607"/>
      <c r="AC109" s="1535" t="s">
        <v>105</v>
      </c>
      <c r="AD109" s="1535"/>
      <c r="AE109" s="1535"/>
      <c r="AF109" s="1535"/>
      <c r="AG109" s="607"/>
      <c r="AH109" s="607"/>
      <c r="AI109" s="607"/>
      <c r="AJ109" s="1536" t="s">
        <v>97</v>
      </c>
      <c r="AK109" s="1536"/>
      <c r="AL109" s="1536"/>
      <c r="AM109" s="1536"/>
      <c r="AN109" s="604"/>
      <c r="AO109" s="607"/>
      <c r="AP109" s="1535" t="s">
        <v>105</v>
      </c>
      <c r="AQ109" s="1535"/>
      <c r="AR109" s="1535"/>
      <c r="AS109" s="1535"/>
      <c r="AT109" s="607"/>
      <c r="AU109" s="607"/>
      <c r="AV109" s="607"/>
      <c r="AW109" s="1536" t="s">
        <v>130</v>
      </c>
      <c r="AX109" s="1536"/>
      <c r="AY109" s="1536"/>
      <c r="AZ109" s="1536"/>
      <c r="BA109" s="605"/>
      <c r="BB109" s="607"/>
      <c r="BC109" s="1535" t="s">
        <v>105</v>
      </c>
      <c r="BD109" s="1535"/>
      <c r="BE109" s="1535"/>
      <c r="BF109" s="1535"/>
      <c r="BG109" s="607"/>
      <c r="BH109" s="607"/>
      <c r="BI109" s="607"/>
      <c r="BJ109" s="1536" t="s">
        <v>143</v>
      </c>
      <c r="BK109" s="1536"/>
      <c r="BL109" s="1536"/>
      <c r="BM109" s="1536"/>
      <c r="BN109" s="605"/>
      <c r="BO109" s="604"/>
      <c r="BP109" s="604"/>
      <c r="BQ109" s="604"/>
      <c r="BR109" s="604"/>
      <c r="BS109" s="604"/>
      <c r="BT109" s="604"/>
      <c r="BU109" s="604"/>
      <c r="BV109" s="604"/>
      <c r="BW109" s="604"/>
      <c r="BX109" s="604"/>
      <c r="BY109" s="604"/>
      <c r="BZ109" s="604"/>
      <c r="CA109" s="605"/>
      <c r="CB109" s="607"/>
      <c r="CC109" s="1536" t="s">
        <v>105</v>
      </c>
      <c r="CD109" s="1536"/>
      <c r="CE109" s="1536"/>
      <c r="CF109" s="1536"/>
      <c r="CG109" s="607"/>
      <c r="CH109" s="607"/>
      <c r="CI109" s="607"/>
      <c r="CJ109" s="1535" t="s">
        <v>112</v>
      </c>
      <c r="CK109" s="1535"/>
      <c r="CL109" s="1535"/>
      <c r="CM109" s="1535"/>
      <c r="CN109" s="605"/>
    </row>
    <row r="110" spans="1:92" s="517" customFormat="1" ht="15">
      <c r="A110" s="1537"/>
      <c r="B110" s="522"/>
      <c r="C110" s="568">
        <v>1</v>
      </c>
      <c r="D110" s="569">
        <v>2</v>
      </c>
      <c r="E110" s="570">
        <v>3</v>
      </c>
      <c r="F110" s="603">
        <v>4</v>
      </c>
      <c r="G110" s="523">
        <f>IF(COUNTIF(G112:G121,"&gt;37")=0,0,COUNTIF(G112:G121,"&gt;37")-1)</f>
        <v>0</v>
      </c>
      <c r="H110" s="607"/>
      <c r="I110" s="523">
        <f>IF(COUNTIF(I112:I121,"&gt;37")=0,0,COUNTIF(I112:I121,"&gt;37")-1)</f>
        <v>3</v>
      </c>
      <c r="J110" s="560">
        <v>1</v>
      </c>
      <c r="K110" s="561">
        <v>2</v>
      </c>
      <c r="L110" s="562">
        <v>3</v>
      </c>
      <c r="M110" s="566">
        <v>4</v>
      </c>
      <c r="N110" s="604"/>
      <c r="O110" s="522"/>
      <c r="P110" s="568">
        <v>1</v>
      </c>
      <c r="Q110" s="569">
        <v>2</v>
      </c>
      <c r="R110" s="570">
        <v>3</v>
      </c>
      <c r="S110" s="603">
        <v>4</v>
      </c>
      <c r="T110" s="523">
        <f>IF(COUNTIF(T112:T121,"&gt;37")=0,0,COUNTIF(T112:T121,"&gt;37")-1)</f>
        <v>0</v>
      </c>
      <c r="U110" s="607"/>
      <c r="V110" s="523">
        <f>IF(COUNTIF(V112:V121,"&gt;37")=0,0,COUNTIF(V112:V121,"&gt;37")-1)</f>
        <v>1</v>
      </c>
      <c r="W110" s="560">
        <v>1</v>
      </c>
      <c r="X110" s="561">
        <v>2</v>
      </c>
      <c r="Y110" s="562">
        <v>3</v>
      </c>
      <c r="Z110" s="566">
        <v>4</v>
      </c>
      <c r="AA110" s="604"/>
      <c r="AB110" s="522"/>
      <c r="AC110" s="568">
        <v>1</v>
      </c>
      <c r="AD110" s="569">
        <v>2</v>
      </c>
      <c r="AE110" s="570">
        <v>3</v>
      </c>
      <c r="AF110" s="603">
        <v>4</v>
      </c>
      <c r="AG110" s="523">
        <f>IF(COUNTIF(AG112:AG121,"&gt;37")=0,0,COUNTIF(AG112:AG121,"&gt;37")-1)</f>
        <v>0</v>
      </c>
      <c r="AH110" s="607"/>
      <c r="AI110" s="523">
        <f>IF(COUNTIF(AI112:AI121,"&gt;37")=0,0,COUNTIF(AI112:AI121,"&gt;37")-1)</f>
        <v>4</v>
      </c>
      <c r="AJ110" s="560">
        <v>1</v>
      </c>
      <c r="AK110" s="561">
        <v>2</v>
      </c>
      <c r="AL110" s="562">
        <v>3</v>
      </c>
      <c r="AM110" s="566">
        <v>4</v>
      </c>
      <c r="AN110" s="604"/>
      <c r="AO110" s="522"/>
      <c r="AP110" s="568">
        <v>1</v>
      </c>
      <c r="AQ110" s="569">
        <v>2</v>
      </c>
      <c r="AR110" s="570">
        <v>3</v>
      </c>
      <c r="AS110" s="603">
        <v>4</v>
      </c>
      <c r="AT110" s="523">
        <f>IF(COUNTIF(AT112:AT121,"&gt;37")=0,0,COUNTIF(AT112:AT121,"&gt;37")-1)</f>
        <v>1</v>
      </c>
      <c r="AU110" s="607"/>
      <c r="AV110" s="523">
        <f>IF(COUNTIF(AV112:AV121,"&gt;37")=0,0,COUNTIF(AV112:AV121,"&gt;37")-1)</f>
        <v>1</v>
      </c>
      <c r="AW110" s="560">
        <v>1</v>
      </c>
      <c r="AX110" s="561">
        <v>2</v>
      </c>
      <c r="AY110" s="562">
        <v>3</v>
      </c>
      <c r="AZ110" s="566">
        <v>4</v>
      </c>
      <c r="BA110" s="618"/>
      <c r="BB110" s="522"/>
      <c r="BC110" s="568">
        <v>1</v>
      </c>
      <c r="BD110" s="569">
        <v>2</v>
      </c>
      <c r="BE110" s="570">
        <v>3</v>
      </c>
      <c r="BF110" s="603">
        <v>4</v>
      </c>
      <c r="BG110" s="523">
        <f>IF(COUNTIF(BG112:BG121,"&gt;37")=0,0,COUNTIF(BG112:BG121,"&gt;37")-1)</f>
        <v>0</v>
      </c>
      <c r="BH110" s="607"/>
      <c r="BI110" s="523">
        <f>IF(COUNTIF(BI112:BI121,"&gt;37")=0,0,COUNTIF(BI112:BI121,"&gt;37")-1)</f>
        <v>2</v>
      </c>
      <c r="BJ110" s="560">
        <v>1</v>
      </c>
      <c r="BK110" s="561">
        <v>2</v>
      </c>
      <c r="BL110" s="562">
        <v>3</v>
      </c>
      <c r="BM110" s="566">
        <v>4</v>
      </c>
      <c r="BN110" s="618"/>
      <c r="BO110" s="529"/>
      <c r="BP110" s="520"/>
      <c r="BQ110" s="518"/>
      <c r="BR110" s="518"/>
      <c r="BS110" s="518"/>
      <c r="BT110" s="612"/>
      <c r="BU110" s="604"/>
      <c r="BV110" s="520"/>
      <c r="BW110" s="521"/>
      <c r="BX110" s="521"/>
      <c r="BY110" s="521"/>
      <c r="BZ110" s="521"/>
      <c r="CA110" s="618"/>
      <c r="CB110" s="522"/>
      <c r="CC110" s="560">
        <v>1</v>
      </c>
      <c r="CD110" s="561">
        <v>2</v>
      </c>
      <c r="CE110" s="562">
        <v>3</v>
      </c>
      <c r="CF110" s="566">
        <v>4</v>
      </c>
      <c r="CG110" s="523">
        <f>IF(COUNTIF(CG112:CG122,"&gt;37")=0,0,COUNTIF(CG112:CG122,"&gt;37")-1)</f>
        <v>1</v>
      </c>
      <c r="CH110" s="607"/>
      <c r="CI110" s="486">
        <v>2</v>
      </c>
      <c r="CJ110" s="568">
        <v>1</v>
      </c>
      <c r="CK110" s="569">
        <v>2</v>
      </c>
      <c r="CL110" s="570">
        <v>3</v>
      </c>
      <c r="CM110" s="603">
        <v>4</v>
      </c>
      <c r="CN110" s="618"/>
    </row>
    <row r="111" spans="1:92" s="517" customFormat="1" ht="60.75">
      <c r="A111" s="1537"/>
      <c r="B111" s="526"/>
      <c r="C111" s="592" t="s">
        <v>106</v>
      </c>
      <c r="D111" s="592" t="s">
        <v>107</v>
      </c>
      <c r="E111" s="592" t="s">
        <v>55</v>
      </c>
      <c r="F111" s="592" t="s">
        <v>108</v>
      </c>
      <c r="G111" s="528"/>
      <c r="H111" s="610"/>
      <c r="I111" s="611"/>
      <c r="J111" s="475" t="s">
        <v>118</v>
      </c>
      <c r="K111" s="475" t="s">
        <v>119</v>
      </c>
      <c r="L111" s="475" t="s">
        <v>120</v>
      </c>
      <c r="M111" s="475" t="s">
        <v>121</v>
      </c>
      <c r="N111" s="608"/>
      <c r="O111" s="526"/>
      <c r="P111" s="571" t="s">
        <v>106</v>
      </c>
      <c r="Q111" s="571" t="s">
        <v>107</v>
      </c>
      <c r="R111" s="571" t="s">
        <v>55</v>
      </c>
      <c r="S111" s="571" t="s">
        <v>108</v>
      </c>
      <c r="T111" s="528"/>
      <c r="U111" s="610"/>
      <c r="V111" s="611"/>
      <c r="W111" s="475" t="s">
        <v>1</v>
      </c>
      <c r="X111" s="475" t="s">
        <v>104</v>
      </c>
      <c r="Y111" s="475" t="s">
        <v>53</v>
      </c>
      <c r="Z111" s="475" t="s">
        <v>96</v>
      </c>
      <c r="AA111" s="608"/>
      <c r="AB111" s="526"/>
      <c r="AC111" s="592" t="s">
        <v>107</v>
      </c>
      <c r="AD111" s="592" t="s">
        <v>55</v>
      </c>
      <c r="AE111" s="592" t="s">
        <v>106</v>
      </c>
      <c r="AF111" s="592" t="s">
        <v>108</v>
      </c>
      <c r="AG111" s="483"/>
      <c r="AH111" s="577"/>
      <c r="AI111" s="577"/>
      <c r="AJ111" s="475" t="s">
        <v>1</v>
      </c>
      <c r="AK111" s="475" t="s">
        <v>53</v>
      </c>
      <c r="AL111" s="475" t="s">
        <v>0</v>
      </c>
      <c r="AM111" s="475" t="s">
        <v>56</v>
      </c>
      <c r="AN111" s="608"/>
      <c r="AO111" s="526"/>
      <c r="AP111" s="571" t="s">
        <v>148</v>
      </c>
      <c r="AQ111" s="571" t="s">
        <v>107</v>
      </c>
      <c r="AR111" s="571" t="s">
        <v>55</v>
      </c>
      <c r="AS111" s="571" t="s">
        <v>108</v>
      </c>
      <c r="AT111" s="528"/>
      <c r="AU111" s="610"/>
      <c r="AV111" s="611"/>
      <c r="AW111" s="527" t="s">
        <v>99</v>
      </c>
      <c r="AX111" s="527" t="s">
        <v>113</v>
      </c>
      <c r="AY111" s="527" t="s">
        <v>101</v>
      </c>
      <c r="AZ111" s="527" t="s">
        <v>102</v>
      </c>
      <c r="BA111" s="605"/>
      <c r="BB111" s="526"/>
      <c r="BC111" s="571" t="s">
        <v>148</v>
      </c>
      <c r="BD111" s="571" t="s">
        <v>107</v>
      </c>
      <c r="BE111" s="571" t="s">
        <v>55</v>
      </c>
      <c r="BF111" s="571" t="s">
        <v>108</v>
      </c>
      <c r="BG111" s="528"/>
      <c r="BH111" s="610"/>
      <c r="BI111" s="611"/>
      <c r="BJ111" s="527" t="s">
        <v>54</v>
      </c>
      <c r="BK111" s="527" t="s">
        <v>149</v>
      </c>
      <c r="BL111" s="527" t="s">
        <v>115</v>
      </c>
      <c r="BM111" s="527" t="s">
        <v>116</v>
      </c>
      <c r="BN111" s="605"/>
      <c r="BO111" s="529"/>
      <c r="BP111" s="518"/>
      <c r="BQ111" s="520"/>
      <c r="BR111" s="520"/>
      <c r="BS111" s="518"/>
      <c r="BT111" s="612"/>
      <c r="BU111" s="608"/>
      <c r="BV111" s="608"/>
      <c r="BW111" s="525"/>
      <c r="BX111" s="609"/>
      <c r="BY111" s="609"/>
      <c r="BZ111" s="524"/>
      <c r="CA111" s="605"/>
      <c r="CB111" s="526"/>
      <c r="CC111" s="527" t="s">
        <v>106</v>
      </c>
      <c r="CD111" s="527" t="s">
        <v>107</v>
      </c>
      <c r="CE111" s="527" t="s">
        <v>152</v>
      </c>
      <c r="CF111" s="527" t="s">
        <v>108</v>
      </c>
      <c r="CG111" s="528"/>
      <c r="CH111" s="610"/>
      <c r="CI111" s="611"/>
      <c r="CJ111" s="571" t="s">
        <v>150</v>
      </c>
      <c r="CK111" s="571" t="s">
        <v>110</v>
      </c>
      <c r="CL111" s="571" t="s">
        <v>111</v>
      </c>
      <c r="CM111" s="571" t="s">
        <v>151</v>
      </c>
      <c r="CN111" s="605"/>
    </row>
    <row r="112" spans="1:92" s="517" customFormat="1" ht="15">
      <c r="A112" s="1537"/>
      <c r="B112" s="530">
        <v>1</v>
      </c>
      <c r="C112" s="531">
        <v>7</v>
      </c>
      <c r="D112" s="532"/>
      <c r="E112" s="532"/>
      <c r="F112" s="600"/>
      <c r="G112" s="613">
        <f>SUM(C$112:F112)</f>
        <v>7</v>
      </c>
      <c r="H112" s="614">
        <f>G112-I112</f>
        <v>0</v>
      </c>
      <c r="I112" s="615">
        <f>SUM(J$112:M112)</f>
        <v>7</v>
      </c>
      <c r="J112" s="531">
        <v>7</v>
      </c>
      <c r="K112" s="532"/>
      <c r="L112" s="532"/>
      <c r="M112" s="600"/>
      <c r="N112" s="604"/>
      <c r="O112" s="530">
        <v>1</v>
      </c>
      <c r="P112" s="531">
        <v>7</v>
      </c>
      <c r="Q112" s="532"/>
      <c r="R112" s="532"/>
      <c r="S112" s="600"/>
      <c r="T112" s="613">
        <f>SUM(P$112:S112)</f>
        <v>7</v>
      </c>
      <c r="U112" s="614">
        <f>T112-V112</f>
        <v>-5</v>
      </c>
      <c r="V112" s="615">
        <f>SUM(W$112:Z112)</f>
        <v>12</v>
      </c>
      <c r="W112" s="531">
        <v>12</v>
      </c>
      <c r="X112" s="532"/>
      <c r="Y112" s="532"/>
      <c r="Z112" s="600"/>
      <c r="AA112" s="604"/>
      <c r="AB112" s="530">
        <v>1</v>
      </c>
      <c r="AC112" s="531" t="s">
        <v>2</v>
      </c>
      <c r="AD112" s="532"/>
      <c r="AE112" s="532"/>
      <c r="AF112" s="563"/>
      <c r="AG112" s="613">
        <f>SUM(AC$112:AF112)</f>
        <v>0</v>
      </c>
      <c r="AH112" s="614">
        <f>AG112-AI112</f>
        <v>-5</v>
      </c>
      <c r="AI112" s="615">
        <f>SUM(AJ$112:AM112)</f>
        <v>5</v>
      </c>
      <c r="AJ112" s="531">
        <v>5</v>
      </c>
      <c r="AK112" s="532"/>
      <c r="AL112" s="532"/>
      <c r="AM112" s="477"/>
      <c r="AN112" s="604"/>
      <c r="AO112" s="530">
        <v>1</v>
      </c>
      <c r="AP112" s="531">
        <v>10</v>
      </c>
      <c r="AQ112" s="532"/>
      <c r="AR112" s="532"/>
      <c r="AS112" s="600"/>
      <c r="AT112" s="613">
        <f>SUM(AP$112:AS112)</f>
        <v>10</v>
      </c>
      <c r="AU112" s="614">
        <f>AT112-AV112</f>
        <v>2</v>
      </c>
      <c r="AV112" s="615">
        <f>SUM(AW$112:AZ112)</f>
        <v>8</v>
      </c>
      <c r="AW112" s="531">
        <v>8</v>
      </c>
      <c r="AX112" s="532"/>
      <c r="AY112" s="532"/>
      <c r="AZ112" s="600"/>
      <c r="BA112" s="605"/>
      <c r="BB112" s="530">
        <v>1</v>
      </c>
      <c r="BC112" s="531" t="s">
        <v>2</v>
      </c>
      <c r="BD112" s="532"/>
      <c r="BE112" s="532"/>
      <c r="BF112" s="600"/>
      <c r="BG112" s="613">
        <f>SUM(BC$112:BF112)</f>
        <v>0</v>
      </c>
      <c r="BH112" s="614">
        <f>BG112-BI112</f>
        <v>-4</v>
      </c>
      <c r="BI112" s="615">
        <f>SUM(BJ$112:BM112)</f>
        <v>4</v>
      </c>
      <c r="BJ112" s="531">
        <v>4</v>
      </c>
      <c r="BK112" s="532"/>
      <c r="BL112" s="532"/>
      <c r="BM112" s="600"/>
      <c r="BN112" s="605"/>
      <c r="BO112" s="529"/>
      <c r="BP112" s="520"/>
      <c r="BQ112" s="518"/>
      <c r="BR112" s="518"/>
      <c r="BS112" s="518"/>
      <c r="BT112" s="612"/>
      <c r="BU112" s="604"/>
      <c r="BV112" s="612"/>
      <c r="BW112" s="520"/>
      <c r="BX112" s="518"/>
      <c r="BY112" s="518"/>
      <c r="BZ112" s="518"/>
      <c r="CA112" s="605"/>
      <c r="CB112" s="530">
        <v>1</v>
      </c>
      <c r="CC112" s="531" t="s">
        <v>2</v>
      </c>
      <c r="CD112" s="532"/>
      <c r="CE112" s="532"/>
      <c r="CF112" s="600"/>
      <c r="CG112" s="613">
        <f>SUM(CC$112:CF112)</f>
        <v>0</v>
      </c>
      <c r="CH112" s="614">
        <f>CG112-CI112</f>
        <v>-11</v>
      </c>
      <c r="CI112" s="615">
        <f>SUM(CJ$112:CM112)</f>
        <v>11</v>
      </c>
      <c r="CJ112" s="531">
        <v>11</v>
      </c>
      <c r="CK112" s="532"/>
      <c r="CL112" s="532"/>
      <c r="CM112" s="600"/>
      <c r="CN112" s="605"/>
    </row>
    <row r="113" spans="1:92" s="517" customFormat="1" ht="15">
      <c r="A113" s="1537"/>
      <c r="B113" s="533">
        <v>2</v>
      </c>
      <c r="C113" s="532"/>
      <c r="D113" s="531">
        <v>3</v>
      </c>
      <c r="E113" s="532"/>
      <c r="F113" s="532"/>
      <c r="G113" s="613">
        <f>SUM(C$112:F113)</f>
        <v>10</v>
      </c>
      <c r="H113" s="614">
        <f t="shared" ref="H113:H120" si="31">G113-I113</f>
        <v>-5</v>
      </c>
      <c r="I113" s="615">
        <f>SUM(J$112:M113)</f>
        <v>15</v>
      </c>
      <c r="J113" s="532"/>
      <c r="K113" s="531">
        <v>8</v>
      </c>
      <c r="L113" s="532"/>
      <c r="M113" s="532"/>
      <c r="N113" s="604"/>
      <c r="O113" s="533">
        <v>2</v>
      </c>
      <c r="P113" s="532"/>
      <c r="Q113" s="531" t="s">
        <v>2</v>
      </c>
      <c r="R113" s="532"/>
      <c r="S113" s="532"/>
      <c r="T113" s="613">
        <f>SUM(P$112:S113)</f>
        <v>7</v>
      </c>
      <c r="U113" s="614">
        <f t="shared" ref="U113:U118" si="32">T113-V113</f>
        <v>-10</v>
      </c>
      <c r="V113" s="615">
        <f>SUM(W$112:Z113)</f>
        <v>17</v>
      </c>
      <c r="W113" s="532"/>
      <c r="X113" s="531">
        <v>5</v>
      </c>
      <c r="Y113" s="532"/>
      <c r="Z113" s="532"/>
      <c r="AA113" s="604"/>
      <c r="AB113" s="533">
        <v>2</v>
      </c>
      <c r="AC113" s="532"/>
      <c r="AD113" s="531">
        <v>9</v>
      </c>
      <c r="AE113" s="532"/>
      <c r="AF113" s="532"/>
      <c r="AG113" s="613">
        <f>SUM(AC$112:AF113)</f>
        <v>9</v>
      </c>
      <c r="AH113" s="614">
        <f t="shared" ref="AH113:AH120" si="33">AG113-AI113</f>
        <v>-3</v>
      </c>
      <c r="AI113" s="615">
        <f>SUM(AJ$112:AM113)</f>
        <v>12</v>
      </c>
      <c r="AJ113" s="532"/>
      <c r="AK113" s="531">
        <v>7</v>
      </c>
      <c r="AL113" s="532"/>
      <c r="AM113" s="532"/>
      <c r="AN113" s="604"/>
      <c r="AO113" s="533">
        <v>2</v>
      </c>
      <c r="AP113" s="532"/>
      <c r="AQ113" s="531">
        <v>7</v>
      </c>
      <c r="AR113" s="532"/>
      <c r="AS113" s="532"/>
      <c r="AT113" s="613">
        <f>SUM(AP$112:AS113)</f>
        <v>17</v>
      </c>
      <c r="AU113" s="614">
        <f t="shared" ref="AU113:AU118" si="34">AT113-AV113</f>
        <v>4</v>
      </c>
      <c r="AV113" s="615">
        <f>SUM(AW$112:AZ113)</f>
        <v>13</v>
      </c>
      <c r="AW113" s="532"/>
      <c r="AX113" s="531">
        <v>5</v>
      </c>
      <c r="AY113" s="532"/>
      <c r="AZ113" s="532"/>
      <c r="BA113" s="605"/>
      <c r="BB113" s="533">
        <v>2</v>
      </c>
      <c r="BC113" s="532"/>
      <c r="BD113" s="531">
        <v>10</v>
      </c>
      <c r="BE113" s="532"/>
      <c r="BF113" s="532"/>
      <c r="BG113" s="613">
        <f>SUM(BC$112:BF113)</f>
        <v>10</v>
      </c>
      <c r="BH113" s="614">
        <f t="shared" ref="BH113:BH120" si="35">BG113-BI113</f>
        <v>0</v>
      </c>
      <c r="BI113" s="615">
        <f>SUM(BJ$112:BM113)</f>
        <v>10</v>
      </c>
      <c r="BJ113" s="532"/>
      <c r="BK113" s="531">
        <v>6</v>
      </c>
      <c r="BL113" s="532"/>
      <c r="BM113" s="532"/>
      <c r="BN113" s="605"/>
      <c r="BO113" s="529"/>
      <c r="BP113" s="518"/>
      <c r="BQ113" s="520"/>
      <c r="BR113" s="520"/>
      <c r="BS113" s="518"/>
      <c r="BT113" s="612"/>
      <c r="BU113" s="604"/>
      <c r="BV113" s="612"/>
      <c r="BW113" s="518"/>
      <c r="BX113" s="520"/>
      <c r="BY113" s="520"/>
      <c r="BZ113" s="518"/>
      <c r="CA113" s="605"/>
      <c r="CB113" s="533">
        <v>2</v>
      </c>
      <c r="CC113" s="532"/>
      <c r="CD113" s="531">
        <v>6</v>
      </c>
      <c r="CE113" s="532"/>
      <c r="CF113" s="532"/>
      <c r="CG113" s="613">
        <f>SUM(CC$112:CF113)</f>
        <v>6</v>
      </c>
      <c r="CH113" s="614">
        <f t="shared" ref="CH113:CH122" si="36">CG113-CI113</f>
        <v>-12</v>
      </c>
      <c r="CI113" s="615">
        <f>SUM(CJ$112:CM113)</f>
        <v>18</v>
      </c>
      <c r="CJ113" s="532"/>
      <c r="CK113" s="531">
        <v>7</v>
      </c>
      <c r="CL113" s="532"/>
      <c r="CM113" s="532"/>
      <c r="CN113" s="605"/>
    </row>
    <row r="114" spans="1:92" s="517" customFormat="1" ht="15">
      <c r="A114" s="1537"/>
      <c r="B114" s="533">
        <v>3</v>
      </c>
      <c r="C114" s="531"/>
      <c r="D114" s="532"/>
      <c r="E114" s="532">
        <v>3</v>
      </c>
      <c r="F114" s="600"/>
      <c r="G114" s="613">
        <f>SUM(C$112:F114)</f>
        <v>13</v>
      </c>
      <c r="H114" s="614">
        <f t="shared" si="31"/>
        <v>-11</v>
      </c>
      <c r="I114" s="615">
        <f>SUM(J$112:M114)</f>
        <v>24</v>
      </c>
      <c r="J114" s="531"/>
      <c r="K114" s="532"/>
      <c r="L114" s="532">
        <v>9</v>
      </c>
      <c r="M114" s="600"/>
      <c r="N114" s="604"/>
      <c r="O114" s="533">
        <v>3</v>
      </c>
      <c r="P114" s="531"/>
      <c r="Q114" s="532"/>
      <c r="R114" s="532">
        <v>9</v>
      </c>
      <c r="S114" s="600"/>
      <c r="T114" s="613">
        <f>SUM(P$112:S114)</f>
        <v>16</v>
      </c>
      <c r="U114" s="614">
        <f t="shared" si="32"/>
        <v>-4</v>
      </c>
      <c r="V114" s="615">
        <f>SUM(W$112:Z114)</f>
        <v>20</v>
      </c>
      <c r="W114" s="531"/>
      <c r="X114" s="532"/>
      <c r="Y114" s="532">
        <v>3</v>
      </c>
      <c r="Z114" s="600"/>
      <c r="AA114" s="604"/>
      <c r="AB114" s="533">
        <v>3</v>
      </c>
      <c r="AC114" s="531"/>
      <c r="AD114" s="532"/>
      <c r="AE114" s="532">
        <v>6</v>
      </c>
      <c r="AF114" s="563"/>
      <c r="AG114" s="613">
        <f>SUM(AC$112:AF114)</f>
        <v>15</v>
      </c>
      <c r="AH114" s="614">
        <f t="shared" si="33"/>
        <v>-3</v>
      </c>
      <c r="AI114" s="615">
        <f>SUM(AJ$112:AM114)</f>
        <v>18</v>
      </c>
      <c r="AJ114" s="531"/>
      <c r="AK114" s="532"/>
      <c r="AL114" s="532">
        <v>6</v>
      </c>
      <c r="AM114" s="563"/>
      <c r="AN114" s="604"/>
      <c r="AO114" s="533">
        <v>3</v>
      </c>
      <c r="AP114" s="531"/>
      <c r="AQ114" s="532"/>
      <c r="AR114" s="532">
        <v>12</v>
      </c>
      <c r="AS114" s="600"/>
      <c r="AT114" s="613">
        <f>SUM(AP$112:AS114)</f>
        <v>29</v>
      </c>
      <c r="AU114" s="614">
        <f t="shared" si="34"/>
        <v>11</v>
      </c>
      <c r="AV114" s="615">
        <f>SUM(AW$112:AZ114)</f>
        <v>18</v>
      </c>
      <c r="AW114" s="531"/>
      <c r="AX114" s="532"/>
      <c r="AY114" s="532">
        <v>5</v>
      </c>
      <c r="AZ114" s="600"/>
      <c r="BA114" s="605"/>
      <c r="BB114" s="533">
        <v>3</v>
      </c>
      <c r="BC114" s="531"/>
      <c r="BD114" s="532"/>
      <c r="BE114" s="532">
        <v>8</v>
      </c>
      <c r="BF114" s="600"/>
      <c r="BG114" s="613">
        <f>SUM(BC$112:BF114)</f>
        <v>18</v>
      </c>
      <c r="BH114" s="614">
        <f t="shared" si="35"/>
        <v>-1</v>
      </c>
      <c r="BI114" s="615">
        <f>SUM(BJ$112:BM114)</f>
        <v>19</v>
      </c>
      <c r="BJ114" s="531"/>
      <c r="BK114" s="532"/>
      <c r="BL114" s="532">
        <v>9</v>
      </c>
      <c r="BM114" s="600"/>
      <c r="BN114" s="605"/>
      <c r="BO114" s="529"/>
      <c r="BP114" s="520"/>
      <c r="BQ114" s="518"/>
      <c r="BR114" s="518"/>
      <c r="BS114" s="518"/>
      <c r="BT114" s="612"/>
      <c r="BU114" s="604"/>
      <c r="BV114" s="612"/>
      <c r="BW114" s="520"/>
      <c r="BX114" s="518"/>
      <c r="BY114" s="518"/>
      <c r="BZ114" s="518"/>
      <c r="CA114" s="605"/>
      <c r="CB114" s="533">
        <v>3</v>
      </c>
      <c r="CC114" s="531"/>
      <c r="CD114" s="532"/>
      <c r="CE114" s="532" t="s">
        <v>2</v>
      </c>
      <c r="CF114" s="600"/>
      <c r="CG114" s="613">
        <f>SUM(CC$112:CF114)</f>
        <v>6</v>
      </c>
      <c r="CH114" s="614">
        <f t="shared" si="36"/>
        <v>-16</v>
      </c>
      <c r="CI114" s="615">
        <f>SUM(CJ$112:CM114)</f>
        <v>22</v>
      </c>
      <c r="CJ114" s="531"/>
      <c r="CK114" s="532"/>
      <c r="CL114" s="532">
        <v>4</v>
      </c>
      <c r="CM114" s="600"/>
      <c r="CN114" s="605"/>
    </row>
    <row r="115" spans="1:92" s="517" customFormat="1" ht="15">
      <c r="A115" s="1537"/>
      <c r="B115" s="530">
        <v>4</v>
      </c>
      <c r="C115" s="532"/>
      <c r="D115" s="531"/>
      <c r="E115" s="532"/>
      <c r="F115" s="532">
        <v>2</v>
      </c>
      <c r="G115" s="613">
        <f>SUM(C$112:F115)</f>
        <v>15</v>
      </c>
      <c r="H115" s="614">
        <f t="shared" si="31"/>
        <v>-11</v>
      </c>
      <c r="I115" s="615">
        <f>SUM(J$112:M115)</f>
        <v>26</v>
      </c>
      <c r="J115" s="532"/>
      <c r="K115" s="531"/>
      <c r="L115" s="532"/>
      <c r="M115" s="532">
        <v>2</v>
      </c>
      <c r="N115" s="604"/>
      <c r="O115" s="530">
        <v>4</v>
      </c>
      <c r="P115" s="532"/>
      <c r="Q115" s="531"/>
      <c r="R115" s="532"/>
      <c r="S115" s="532">
        <v>2</v>
      </c>
      <c r="T115" s="613">
        <f>SUM(P$112:S115)</f>
        <v>18</v>
      </c>
      <c r="U115" s="614">
        <f t="shared" si="32"/>
        <v>-6</v>
      </c>
      <c r="V115" s="615">
        <f>SUM(W$112:Z115)</f>
        <v>24</v>
      </c>
      <c r="W115" s="532"/>
      <c r="X115" s="531"/>
      <c r="Y115" s="532"/>
      <c r="Z115" s="532">
        <v>4</v>
      </c>
      <c r="AA115" s="604"/>
      <c r="AB115" s="530">
        <v>4</v>
      </c>
      <c r="AC115" s="532"/>
      <c r="AD115" s="531"/>
      <c r="AE115" s="532"/>
      <c r="AF115" s="532" t="s">
        <v>2</v>
      </c>
      <c r="AG115" s="613">
        <f>SUM(AC$112:AF115)</f>
        <v>15</v>
      </c>
      <c r="AH115" s="614">
        <f t="shared" si="33"/>
        <v>-11</v>
      </c>
      <c r="AI115" s="615">
        <f>SUM(AJ$112:AM115)</f>
        <v>26</v>
      </c>
      <c r="AJ115" s="532"/>
      <c r="AK115" s="531"/>
      <c r="AL115" s="532"/>
      <c r="AM115" s="532">
        <v>8</v>
      </c>
      <c r="AN115" s="604"/>
      <c r="AO115" s="530">
        <v>4</v>
      </c>
      <c r="AP115" s="532"/>
      <c r="AQ115" s="531"/>
      <c r="AR115" s="532"/>
      <c r="AS115" s="532">
        <v>2</v>
      </c>
      <c r="AT115" s="613">
        <f>SUM(AP$112:AS115)</f>
        <v>31</v>
      </c>
      <c r="AU115" s="614">
        <f t="shared" si="34"/>
        <v>10</v>
      </c>
      <c r="AV115" s="615">
        <f>SUM(AW$112:AZ115)</f>
        <v>21</v>
      </c>
      <c r="AW115" s="532"/>
      <c r="AX115" s="531"/>
      <c r="AY115" s="532"/>
      <c r="AZ115" s="532">
        <v>3</v>
      </c>
      <c r="BA115" s="605"/>
      <c r="BB115" s="530">
        <v>4</v>
      </c>
      <c r="BC115" s="532"/>
      <c r="BD115" s="531"/>
      <c r="BE115" s="532"/>
      <c r="BF115" s="532">
        <v>4</v>
      </c>
      <c r="BG115" s="613">
        <f>SUM(BC$112:BF115)</f>
        <v>22</v>
      </c>
      <c r="BH115" s="614">
        <f t="shared" si="35"/>
        <v>0</v>
      </c>
      <c r="BI115" s="615">
        <f>SUM(BJ$112:BM115)</f>
        <v>22</v>
      </c>
      <c r="BJ115" s="532"/>
      <c r="BK115" s="531"/>
      <c r="BL115" s="532"/>
      <c r="BM115" s="532">
        <v>3</v>
      </c>
      <c r="BN115" s="605"/>
      <c r="BO115" s="529"/>
      <c r="BP115" s="518"/>
      <c r="BQ115" s="520"/>
      <c r="BR115" s="520"/>
      <c r="BS115" s="518"/>
      <c r="BT115" s="612"/>
      <c r="BU115" s="604"/>
      <c r="BV115" s="612"/>
      <c r="BW115" s="518"/>
      <c r="BX115" s="520"/>
      <c r="BY115" s="520"/>
      <c r="BZ115" s="518"/>
      <c r="CA115" s="605"/>
      <c r="CB115" s="530">
        <v>4</v>
      </c>
      <c r="CC115" s="532"/>
      <c r="CD115" s="531"/>
      <c r="CE115" s="532"/>
      <c r="CF115" s="532">
        <v>5</v>
      </c>
      <c r="CG115" s="613">
        <f>SUM(CC$112:CF115)</f>
        <v>11</v>
      </c>
      <c r="CH115" s="614">
        <f t="shared" si="36"/>
        <v>-13</v>
      </c>
      <c r="CI115" s="615">
        <f>SUM(CJ$112:CM115)</f>
        <v>24</v>
      </c>
      <c r="CJ115" s="532"/>
      <c r="CK115" s="531"/>
      <c r="CL115" s="532"/>
      <c r="CM115" s="532">
        <v>2</v>
      </c>
      <c r="CN115" s="605"/>
    </row>
    <row r="116" spans="1:92" s="517" customFormat="1" ht="15">
      <c r="A116" s="1537"/>
      <c r="B116" s="533">
        <v>5</v>
      </c>
      <c r="C116" s="531">
        <v>4</v>
      </c>
      <c r="D116" s="532"/>
      <c r="E116" s="532"/>
      <c r="F116" s="600"/>
      <c r="G116" s="613">
        <f>SUM(C$112:F116)</f>
        <v>19</v>
      </c>
      <c r="H116" s="614">
        <f t="shared" si="31"/>
        <v>-17</v>
      </c>
      <c r="I116" s="615">
        <f>SUM(J$112:M116)</f>
        <v>36</v>
      </c>
      <c r="J116" s="531">
        <v>10</v>
      </c>
      <c r="K116" s="532"/>
      <c r="L116" s="532"/>
      <c r="M116" s="600"/>
      <c r="N116" s="604"/>
      <c r="O116" s="533">
        <v>5</v>
      </c>
      <c r="P116" s="531" t="s">
        <v>2</v>
      </c>
      <c r="Q116" s="532"/>
      <c r="R116" s="532"/>
      <c r="S116" s="600"/>
      <c r="T116" s="613">
        <f>SUM(P$112:S116)</f>
        <v>18</v>
      </c>
      <c r="U116" s="614">
        <f t="shared" si="32"/>
        <v>-17</v>
      </c>
      <c r="V116" s="615">
        <f>SUM(W$112:Z116)</f>
        <v>35</v>
      </c>
      <c r="W116" s="531">
        <v>11</v>
      </c>
      <c r="X116" s="532"/>
      <c r="Y116" s="532"/>
      <c r="Z116" s="600"/>
      <c r="AA116" s="604"/>
      <c r="AB116" s="533">
        <v>5</v>
      </c>
      <c r="AC116" s="531">
        <v>3</v>
      </c>
      <c r="AD116" s="532"/>
      <c r="AE116" s="532"/>
      <c r="AF116" s="563"/>
      <c r="AG116" s="613">
        <f>SUM(AC$112:AF116)</f>
        <v>18</v>
      </c>
      <c r="AH116" s="614">
        <f t="shared" si="33"/>
        <v>-18</v>
      </c>
      <c r="AI116" s="615">
        <f>SUM(AJ$112:AM116)</f>
        <v>36</v>
      </c>
      <c r="AJ116" s="531">
        <v>10</v>
      </c>
      <c r="AK116" s="532"/>
      <c r="AL116" s="532"/>
      <c r="AM116" s="563"/>
      <c r="AN116" s="604"/>
      <c r="AO116" s="533">
        <v>5</v>
      </c>
      <c r="AP116" s="531">
        <v>2</v>
      </c>
      <c r="AQ116" s="532"/>
      <c r="AR116" s="532"/>
      <c r="AS116" s="600"/>
      <c r="AT116" s="613">
        <f>SUM(AP$112:AS116)</f>
        <v>33</v>
      </c>
      <c r="AU116" s="614">
        <f t="shared" si="34"/>
        <v>2</v>
      </c>
      <c r="AV116" s="615">
        <f>SUM(AW$112:AZ116)</f>
        <v>31</v>
      </c>
      <c r="AW116" s="531">
        <v>10</v>
      </c>
      <c r="AX116" s="532"/>
      <c r="AY116" s="532"/>
      <c r="AZ116" s="600"/>
      <c r="BA116" s="605"/>
      <c r="BB116" s="533">
        <v>5</v>
      </c>
      <c r="BC116" s="531">
        <v>5</v>
      </c>
      <c r="BD116" s="532"/>
      <c r="BE116" s="532"/>
      <c r="BF116" s="600"/>
      <c r="BG116" s="613">
        <f>SUM(BC$112:BF116)</f>
        <v>27</v>
      </c>
      <c r="BH116" s="614">
        <f t="shared" si="35"/>
        <v>2</v>
      </c>
      <c r="BI116" s="615">
        <f>SUM(BJ$112:BM116)</f>
        <v>25</v>
      </c>
      <c r="BJ116" s="531">
        <v>3</v>
      </c>
      <c r="BK116" s="532"/>
      <c r="BL116" s="532"/>
      <c r="BM116" s="600"/>
      <c r="BN116" s="605"/>
      <c r="BO116" s="529"/>
      <c r="BP116" s="520"/>
      <c r="BQ116" s="518"/>
      <c r="BR116" s="518"/>
      <c r="BS116" s="518"/>
      <c r="BT116" s="612"/>
      <c r="BU116" s="604"/>
      <c r="BV116" s="612"/>
      <c r="BW116" s="520"/>
      <c r="BX116" s="518"/>
      <c r="BY116" s="518"/>
      <c r="BZ116" s="518"/>
      <c r="CA116" s="605"/>
      <c r="CB116" s="533">
        <v>5</v>
      </c>
      <c r="CC116" s="531" t="s">
        <v>2</v>
      </c>
      <c r="CD116" s="532"/>
      <c r="CE116" s="532"/>
      <c r="CF116" s="600"/>
      <c r="CG116" s="613">
        <f>SUM(CC$112:CF116)</f>
        <v>11</v>
      </c>
      <c r="CH116" s="614">
        <f t="shared" si="36"/>
        <v>-21</v>
      </c>
      <c r="CI116" s="615">
        <f>SUM(CJ$112:CM116)</f>
        <v>32</v>
      </c>
      <c r="CJ116" s="531">
        <v>8</v>
      </c>
      <c r="CK116" s="532"/>
      <c r="CL116" s="532"/>
      <c r="CM116" s="600"/>
      <c r="CN116" s="605"/>
    </row>
    <row r="117" spans="1:92" s="517" customFormat="1" ht="15">
      <c r="A117" s="1537"/>
      <c r="B117" s="530">
        <v>6</v>
      </c>
      <c r="C117" s="531"/>
      <c r="D117" s="532">
        <v>2</v>
      </c>
      <c r="E117" s="532"/>
      <c r="F117" s="600"/>
      <c r="G117" s="613">
        <f>SUM(C$112:F117)</f>
        <v>21</v>
      </c>
      <c r="H117" s="614">
        <f>G117-I117</f>
        <v>-18</v>
      </c>
      <c r="I117" s="615">
        <f>SUM(J$112:M117)</f>
        <v>39</v>
      </c>
      <c r="J117" s="531"/>
      <c r="K117" s="532">
        <v>3</v>
      </c>
      <c r="L117" s="532"/>
      <c r="M117" s="600"/>
      <c r="N117" s="604"/>
      <c r="O117" s="530">
        <v>6</v>
      </c>
      <c r="P117" s="531"/>
      <c r="Q117" s="532">
        <v>3</v>
      </c>
      <c r="R117" s="532"/>
      <c r="S117" s="600"/>
      <c r="T117" s="613">
        <f>SUM(P$112:S117)</f>
        <v>21</v>
      </c>
      <c r="U117" s="614">
        <f>T117-V117</f>
        <v>-17</v>
      </c>
      <c r="V117" s="615">
        <f>SUM(W$112:Z117)</f>
        <v>38</v>
      </c>
      <c r="W117" s="531"/>
      <c r="X117" s="532">
        <v>3</v>
      </c>
      <c r="Y117" s="532"/>
      <c r="Z117" s="600"/>
      <c r="AA117" s="604"/>
      <c r="AB117" s="530">
        <v>6</v>
      </c>
      <c r="AC117" s="532"/>
      <c r="AD117" s="531">
        <v>9</v>
      </c>
      <c r="AE117" s="532"/>
      <c r="AF117" s="532"/>
      <c r="AG117" s="613">
        <f>SUM(AC$112:AF117)</f>
        <v>27</v>
      </c>
      <c r="AH117" s="614">
        <f>AG117-AI117</f>
        <v>-12</v>
      </c>
      <c r="AI117" s="615">
        <f>SUM(AJ$112:AM117)</f>
        <v>39</v>
      </c>
      <c r="AJ117" s="532"/>
      <c r="AK117" s="531">
        <v>3</v>
      </c>
      <c r="AL117" s="532"/>
      <c r="AM117" s="532"/>
      <c r="AN117" s="604"/>
      <c r="AO117" s="530">
        <v>6</v>
      </c>
      <c r="AP117" s="531"/>
      <c r="AQ117" s="532">
        <v>6</v>
      </c>
      <c r="AR117" s="532"/>
      <c r="AS117" s="600"/>
      <c r="AT117" s="613">
        <f>SUM(AP$112:AS117)</f>
        <v>39</v>
      </c>
      <c r="AU117" s="614">
        <f>AT117-AV117</f>
        <v>-3</v>
      </c>
      <c r="AV117" s="615">
        <f>SUM(AW$112:AZ117)</f>
        <v>42</v>
      </c>
      <c r="AW117" s="531"/>
      <c r="AX117" s="532">
        <v>11</v>
      </c>
      <c r="AY117" s="532"/>
      <c r="AZ117" s="600"/>
      <c r="BA117" s="605"/>
      <c r="BB117" s="530">
        <v>6</v>
      </c>
      <c r="BC117" s="531"/>
      <c r="BD117" s="532" t="s">
        <v>2</v>
      </c>
      <c r="BE117" s="532"/>
      <c r="BF117" s="600"/>
      <c r="BG117" s="613">
        <f>SUM(BC$112:BF117)</f>
        <v>27</v>
      </c>
      <c r="BH117" s="614">
        <f>BG117-BI117</f>
        <v>-10</v>
      </c>
      <c r="BI117" s="615">
        <f>SUM(BJ$112:BM117)</f>
        <v>37</v>
      </c>
      <c r="BJ117" s="531"/>
      <c r="BK117" s="532">
        <v>12</v>
      </c>
      <c r="BL117" s="532"/>
      <c r="BM117" s="600"/>
      <c r="BN117" s="605"/>
      <c r="BO117" s="529"/>
      <c r="BP117" s="518"/>
      <c r="BQ117" s="520"/>
      <c r="BR117" s="520"/>
      <c r="BS117" s="518"/>
      <c r="BT117" s="612"/>
      <c r="BU117" s="604"/>
      <c r="BV117" s="612"/>
      <c r="BW117" s="518"/>
      <c r="BX117" s="520"/>
      <c r="BY117" s="520"/>
      <c r="BZ117" s="518"/>
      <c r="CA117" s="605"/>
      <c r="CB117" s="530">
        <v>6</v>
      </c>
      <c r="CC117" s="531"/>
      <c r="CD117" s="532">
        <v>11</v>
      </c>
      <c r="CE117" s="532"/>
      <c r="CF117" s="600"/>
      <c r="CG117" s="613">
        <f>SUM(CC$112:CF117)</f>
        <v>22</v>
      </c>
      <c r="CH117" s="614">
        <f>CG117-CI117</f>
        <v>-12</v>
      </c>
      <c r="CI117" s="615">
        <f>SUM(CJ$112:CM117)</f>
        <v>34</v>
      </c>
      <c r="CJ117" s="531"/>
      <c r="CK117" s="532">
        <v>2</v>
      </c>
      <c r="CL117" s="532"/>
      <c r="CM117" s="600"/>
      <c r="CN117" s="605"/>
    </row>
    <row r="118" spans="1:92" s="517" customFormat="1" ht="15">
      <c r="A118" s="1537"/>
      <c r="B118" s="533">
        <v>7</v>
      </c>
      <c r="C118" s="532"/>
      <c r="D118" s="531"/>
      <c r="E118" s="532">
        <v>3</v>
      </c>
      <c r="F118" s="532"/>
      <c r="G118" s="613">
        <f>SUM(C$112:F118)</f>
        <v>24</v>
      </c>
      <c r="H118" s="614">
        <f t="shared" si="31"/>
        <v>-20</v>
      </c>
      <c r="I118" s="615">
        <f>SUM(J$112:M118)</f>
        <v>44</v>
      </c>
      <c r="J118" s="532"/>
      <c r="K118" s="531"/>
      <c r="L118" s="532">
        <v>5</v>
      </c>
      <c r="M118" s="532"/>
      <c r="N118" s="604"/>
      <c r="O118" s="533">
        <v>7</v>
      </c>
      <c r="P118" s="532"/>
      <c r="Q118" s="531"/>
      <c r="R118" s="532">
        <v>2</v>
      </c>
      <c r="S118" s="532"/>
      <c r="T118" s="613">
        <f>SUM(P$112:S118)</f>
        <v>23</v>
      </c>
      <c r="U118" s="614">
        <f t="shared" si="32"/>
        <v>-27</v>
      </c>
      <c r="V118" s="615">
        <f>SUM(W$112:Z118)</f>
        <v>50</v>
      </c>
      <c r="W118" s="532"/>
      <c r="X118" s="531"/>
      <c r="Y118" s="565">
        <v>12</v>
      </c>
      <c r="Z118" s="532"/>
      <c r="AA118" s="604"/>
      <c r="AB118" s="533">
        <v>7</v>
      </c>
      <c r="AC118" s="531"/>
      <c r="AD118" s="532"/>
      <c r="AE118" s="532" t="s">
        <v>2</v>
      </c>
      <c r="AF118" s="563"/>
      <c r="AG118" s="613">
        <f>SUM(AC$112:AF118)</f>
        <v>27</v>
      </c>
      <c r="AH118" s="614">
        <f t="shared" si="33"/>
        <v>-14</v>
      </c>
      <c r="AI118" s="615">
        <f>SUM(AJ$112:AM118)</f>
        <v>41</v>
      </c>
      <c r="AJ118" s="531"/>
      <c r="AK118" s="532"/>
      <c r="AL118" s="532">
        <v>2</v>
      </c>
      <c r="AM118" s="563"/>
      <c r="AN118" s="604"/>
      <c r="AO118" s="533">
        <v>7</v>
      </c>
      <c r="AP118" s="532"/>
      <c r="AQ118" s="531"/>
      <c r="AR118" s="532" t="s">
        <v>2</v>
      </c>
      <c r="AS118" s="532"/>
      <c r="AT118" s="613">
        <f>SUM(AP$112:AS118)</f>
        <v>39</v>
      </c>
      <c r="AU118" s="614">
        <f t="shared" si="34"/>
        <v>-11</v>
      </c>
      <c r="AV118" s="615">
        <f>SUM(AW$112:AZ118)</f>
        <v>50</v>
      </c>
      <c r="AW118" s="532"/>
      <c r="AX118" s="531"/>
      <c r="AY118" s="1427">
        <v>8</v>
      </c>
      <c r="AZ118" s="532"/>
      <c r="BA118" s="605"/>
      <c r="BB118" s="533">
        <v>7</v>
      </c>
      <c r="BC118" s="532"/>
      <c r="BD118" s="531"/>
      <c r="BE118" s="532">
        <v>5</v>
      </c>
      <c r="BF118" s="532"/>
      <c r="BG118" s="613">
        <f>SUM(BC$112:BF118)</f>
        <v>32</v>
      </c>
      <c r="BH118" s="614">
        <f t="shared" si="35"/>
        <v>-9</v>
      </c>
      <c r="BI118" s="615">
        <f>SUM(BJ$112:BM118)</f>
        <v>41</v>
      </c>
      <c r="BJ118" s="532"/>
      <c r="BK118" s="531"/>
      <c r="BL118" s="532">
        <v>4</v>
      </c>
      <c r="BM118" s="532"/>
      <c r="BN118" s="605"/>
      <c r="BO118" s="529"/>
      <c r="BP118" s="520"/>
      <c r="BQ118" s="518"/>
      <c r="BR118" s="518"/>
      <c r="BS118" s="518"/>
      <c r="BT118" s="612"/>
      <c r="BU118" s="604"/>
      <c r="BV118" s="612"/>
      <c r="BW118" s="520"/>
      <c r="BX118" s="518"/>
      <c r="BY118" s="518"/>
      <c r="BZ118" s="518"/>
      <c r="CA118" s="605"/>
      <c r="CB118" s="533">
        <v>7</v>
      </c>
      <c r="CC118" s="532"/>
      <c r="CD118" s="531"/>
      <c r="CE118" s="532">
        <v>3</v>
      </c>
      <c r="CF118" s="532"/>
      <c r="CG118" s="613">
        <f>SUM(CC$112:CF118)</f>
        <v>25</v>
      </c>
      <c r="CH118" s="614">
        <f t="shared" si="36"/>
        <v>-9</v>
      </c>
      <c r="CI118" s="615">
        <f>SUM(CJ$112:CM118)</f>
        <v>34</v>
      </c>
      <c r="CJ118" s="532"/>
      <c r="CK118" s="531"/>
      <c r="CL118" s="532" t="s">
        <v>2</v>
      </c>
      <c r="CM118" s="532"/>
      <c r="CN118" s="605"/>
    </row>
    <row r="119" spans="1:92" s="517" customFormat="1" ht="15">
      <c r="A119" s="1537"/>
      <c r="B119" s="533">
        <v>8</v>
      </c>
      <c r="C119" s="531"/>
      <c r="D119" s="532"/>
      <c r="E119" s="532"/>
      <c r="F119" s="600">
        <v>12</v>
      </c>
      <c r="G119" s="613">
        <f>SUM(C$112:F119)</f>
        <v>36</v>
      </c>
      <c r="H119" s="614">
        <f t="shared" si="31"/>
        <v>-10</v>
      </c>
      <c r="I119" s="615">
        <f>SUM(J$112:M119)</f>
        <v>46</v>
      </c>
      <c r="J119" s="531"/>
      <c r="K119" s="532"/>
      <c r="L119" s="532"/>
      <c r="M119" s="600">
        <v>2</v>
      </c>
      <c r="N119" s="604"/>
      <c r="O119" s="522"/>
      <c r="P119" s="534"/>
      <c r="Q119" s="616"/>
      <c r="R119" s="616"/>
      <c r="S119" s="534"/>
      <c r="T119" s="616"/>
      <c r="U119" s="607"/>
      <c r="V119" s="607"/>
      <c r="W119" s="534"/>
      <c r="X119" s="616"/>
      <c r="Y119" s="616"/>
      <c r="Z119" s="534"/>
      <c r="AA119" s="604"/>
      <c r="AB119" s="533">
        <v>8</v>
      </c>
      <c r="AC119" s="532"/>
      <c r="AD119" s="531"/>
      <c r="AE119" s="532"/>
      <c r="AF119" s="532">
        <v>4</v>
      </c>
      <c r="AG119" s="613">
        <f>SUM(AC$112:AF119)</f>
        <v>31</v>
      </c>
      <c r="AH119" s="614">
        <f t="shared" si="33"/>
        <v>-12</v>
      </c>
      <c r="AI119" s="615">
        <f>SUM(AJ$112:AM119)</f>
        <v>43</v>
      </c>
      <c r="AJ119" s="532"/>
      <c r="AK119" s="531"/>
      <c r="AL119" s="532"/>
      <c r="AM119" s="532">
        <v>2</v>
      </c>
      <c r="AN119" s="604"/>
      <c r="AO119" s="522"/>
      <c r="AP119" s="534"/>
      <c r="AQ119" s="616"/>
      <c r="AR119" s="616"/>
      <c r="AS119" s="534"/>
      <c r="AT119" s="616"/>
      <c r="AU119" s="607"/>
      <c r="AV119" s="607"/>
      <c r="AW119" s="534"/>
      <c r="AX119" s="616"/>
      <c r="AY119" s="616"/>
      <c r="AZ119" s="534"/>
      <c r="BA119" s="605"/>
      <c r="BB119" s="533">
        <v>8</v>
      </c>
      <c r="BC119" s="531"/>
      <c r="BD119" s="532"/>
      <c r="BE119" s="532"/>
      <c r="BF119" s="600" t="s">
        <v>2</v>
      </c>
      <c r="BG119" s="613">
        <f>SUM(BC$112:BF119)</f>
        <v>32</v>
      </c>
      <c r="BH119" s="614">
        <f t="shared" si="35"/>
        <v>-12</v>
      </c>
      <c r="BI119" s="615">
        <f>SUM(BJ$112:BM119)</f>
        <v>44</v>
      </c>
      <c r="BJ119" s="531"/>
      <c r="BK119" s="532"/>
      <c r="BL119" s="532"/>
      <c r="BM119" s="600">
        <v>3</v>
      </c>
      <c r="BN119" s="605"/>
      <c r="BO119" s="529"/>
      <c r="BP119" s="518"/>
      <c r="BQ119" s="520"/>
      <c r="BR119" s="520"/>
      <c r="BS119" s="518"/>
      <c r="BT119" s="612"/>
      <c r="BU119" s="604"/>
      <c r="BV119" s="612"/>
      <c r="BW119" s="518"/>
      <c r="BX119" s="520"/>
      <c r="BY119" s="520"/>
      <c r="BZ119" s="518"/>
      <c r="CA119" s="605"/>
      <c r="CB119" s="533">
        <v>8</v>
      </c>
      <c r="CC119" s="531"/>
      <c r="CD119" s="532"/>
      <c r="CE119" s="532"/>
      <c r="CF119" s="600" t="s">
        <v>2</v>
      </c>
      <c r="CG119" s="613">
        <f>SUM(CC$112:CF119)</f>
        <v>25</v>
      </c>
      <c r="CH119" s="614">
        <f t="shared" si="36"/>
        <v>-15</v>
      </c>
      <c r="CI119" s="615">
        <f>SUM(CJ$112:CM119)</f>
        <v>40</v>
      </c>
      <c r="CJ119" s="531"/>
      <c r="CK119" s="532"/>
      <c r="CL119" s="532"/>
      <c r="CM119" s="600">
        <v>6</v>
      </c>
      <c r="CN119" s="605"/>
    </row>
    <row r="120" spans="1:92" s="517" customFormat="1" ht="15">
      <c r="A120" s="1537"/>
      <c r="B120" s="530">
        <v>9</v>
      </c>
      <c r="C120" s="532">
        <v>12</v>
      </c>
      <c r="D120" s="531"/>
      <c r="E120" s="532"/>
      <c r="F120" s="532"/>
      <c r="G120" s="613">
        <f>SUM(C$112:F120)</f>
        <v>48</v>
      </c>
      <c r="H120" s="614">
        <f t="shared" si="31"/>
        <v>-2</v>
      </c>
      <c r="I120" s="615">
        <f>SUM(J$112:M120)</f>
        <v>50</v>
      </c>
      <c r="J120" s="565">
        <v>4</v>
      </c>
      <c r="K120" s="531"/>
      <c r="L120" s="532"/>
      <c r="M120" s="532"/>
      <c r="N120" s="604"/>
      <c r="O120" s="522"/>
      <c r="P120" s="534"/>
      <c r="Q120" s="616"/>
      <c r="R120" s="616"/>
      <c r="S120" s="534"/>
      <c r="T120" s="616"/>
      <c r="U120" s="607"/>
      <c r="V120" s="607"/>
      <c r="W120" s="534"/>
      <c r="X120" s="616"/>
      <c r="Y120" s="616"/>
      <c r="Z120" s="534"/>
      <c r="AA120" s="604"/>
      <c r="AB120" s="530">
        <v>9</v>
      </c>
      <c r="AC120" s="624">
        <v>2</v>
      </c>
      <c r="AD120" s="531"/>
      <c r="AE120" s="532"/>
      <c r="AF120" s="532"/>
      <c r="AG120" s="613">
        <f>SUM(AC$112:AF120)</f>
        <v>33</v>
      </c>
      <c r="AH120" s="614">
        <f t="shared" si="33"/>
        <v>-14</v>
      </c>
      <c r="AI120" s="615">
        <f>SUM(AJ$112:AM120)</f>
        <v>47</v>
      </c>
      <c r="AJ120" s="532">
        <v>4</v>
      </c>
      <c r="AK120" s="531"/>
      <c r="AL120" s="532"/>
      <c r="AM120" s="532"/>
      <c r="AN120" s="604"/>
      <c r="AO120" s="522"/>
      <c r="AP120" s="534"/>
      <c r="AQ120" s="616"/>
      <c r="AR120" s="616"/>
      <c r="AS120" s="534"/>
      <c r="AT120" s="616"/>
      <c r="AU120" s="607"/>
      <c r="AV120" s="607"/>
      <c r="AW120" s="534"/>
      <c r="AX120" s="616"/>
      <c r="AY120" s="616"/>
      <c r="AZ120" s="534"/>
      <c r="BA120" s="605"/>
      <c r="BB120" s="530">
        <v>9</v>
      </c>
      <c r="BC120" s="532">
        <v>6</v>
      </c>
      <c r="BD120" s="531"/>
      <c r="BE120" s="532"/>
      <c r="BF120" s="532"/>
      <c r="BG120" s="613">
        <f>SUM(BC$112:BF120)</f>
        <v>38</v>
      </c>
      <c r="BH120" s="614">
        <f t="shared" si="35"/>
        <v>-12</v>
      </c>
      <c r="BI120" s="615">
        <f>SUM(BJ$112:BM120)</f>
        <v>50</v>
      </c>
      <c r="BJ120" s="1427">
        <v>6</v>
      </c>
      <c r="BK120" s="531"/>
      <c r="BL120" s="532"/>
      <c r="BM120" s="532"/>
      <c r="BN120" s="605"/>
      <c r="BO120" s="529"/>
      <c r="BP120" s="518"/>
      <c r="BQ120" s="520"/>
      <c r="BR120" s="520"/>
      <c r="BS120" s="518"/>
      <c r="BT120" s="612"/>
      <c r="BU120" s="604"/>
      <c r="BV120" s="612"/>
      <c r="BW120" s="518"/>
      <c r="BX120" s="520"/>
      <c r="BY120" s="520"/>
      <c r="BZ120" s="518"/>
      <c r="CA120" s="605"/>
      <c r="CB120" s="530">
        <v>9</v>
      </c>
      <c r="CC120" s="532">
        <v>4</v>
      </c>
      <c r="CD120" s="531"/>
      <c r="CE120" s="532"/>
      <c r="CF120" s="532"/>
      <c r="CG120" s="613">
        <f>SUM(CC$112:CF120)</f>
        <v>29</v>
      </c>
      <c r="CH120" s="614">
        <f t="shared" si="36"/>
        <v>-11</v>
      </c>
      <c r="CI120" s="615">
        <f>SUM(CJ$112:CM120)</f>
        <v>40</v>
      </c>
      <c r="CJ120" s="532" t="s">
        <v>2</v>
      </c>
      <c r="CK120" s="531"/>
      <c r="CL120" s="532"/>
      <c r="CM120" s="532"/>
      <c r="CN120" s="605"/>
    </row>
    <row r="121" spans="1:92" s="517" customFormat="1" ht="15">
      <c r="A121" s="1537"/>
      <c r="B121" s="522"/>
      <c r="C121" s="534"/>
      <c r="D121" s="616"/>
      <c r="E121" s="616"/>
      <c r="F121" s="534"/>
      <c r="G121" s="616"/>
      <c r="H121" s="607"/>
      <c r="I121" s="607"/>
      <c r="J121" s="534"/>
      <c r="K121" s="616"/>
      <c r="L121" s="616"/>
      <c r="M121" s="534"/>
      <c r="N121" s="604"/>
      <c r="O121" s="522"/>
      <c r="P121" s="534"/>
      <c r="Q121" s="616"/>
      <c r="R121" s="616"/>
      <c r="S121" s="534"/>
      <c r="T121" s="616"/>
      <c r="U121" s="607"/>
      <c r="V121" s="607"/>
      <c r="W121" s="534"/>
      <c r="X121" s="616"/>
      <c r="Y121" s="616"/>
      <c r="Z121" s="534"/>
      <c r="AA121" s="604"/>
      <c r="AB121" s="530">
        <v>10</v>
      </c>
      <c r="AC121" s="531"/>
      <c r="AD121" s="532">
        <v>9</v>
      </c>
      <c r="AE121" s="532"/>
      <c r="AF121" s="563"/>
      <c r="AG121" s="613">
        <f>SUM(AC$112:AF121)</f>
        <v>42</v>
      </c>
      <c r="AH121" s="614">
        <f>AG121-AI121</f>
        <v>-8</v>
      </c>
      <c r="AI121" s="615">
        <f>SUM(AJ$112:AM121)</f>
        <v>50</v>
      </c>
      <c r="AJ121" s="532"/>
      <c r="AK121" s="573">
        <v>3</v>
      </c>
      <c r="AL121" s="532"/>
      <c r="AM121" s="532"/>
      <c r="AN121" s="604"/>
      <c r="AO121" s="522"/>
      <c r="AP121" s="534"/>
      <c r="AQ121" s="616"/>
      <c r="AR121" s="616"/>
      <c r="AS121" s="534"/>
      <c r="AT121" s="616"/>
      <c r="AU121" s="607"/>
      <c r="AV121" s="607"/>
      <c r="AW121" s="534"/>
      <c r="AX121" s="616"/>
      <c r="AY121" s="616"/>
      <c r="AZ121" s="534"/>
      <c r="BA121" s="605"/>
      <c r="BB121" s="522"/>
      <c r="BC121" s="534"/>
      <c r="BD121" s="616"/>
      <c r="BE121" s="616"/>
      <c r="BF121" s="534"/>
      <c r="BG121" s="616"/>
      <c r="BH121" s="607"/>
      <c r="BI121" s="607"/>
      <c r="BJ121" s="534"/>
      <c r="BK121" s="616"/>
      <c r="BL121" s="616"/>
      <c r="BM121" s="534"/>
      <c r="BN121" s="605"/>
      <c r="BO121" s="529"/>
      <c r="BP121" s="518"/>
      <c r="BQ121" s="606"/>
      <c r="BR121" s="606"/>
      <c r="BS121" s="518"/>
      <c r="BT121" s="606"/>
      <c r="BU121" s="604"/>
      <c r="BV121" s="604"/>
      <c r="BW121" s="518"/>
      <c r="BX121" s="606"/>
      <c r="BY121" s="606"/>
      <c r="BZ121" s="518"/>
      <c r="CA121" s="605"/>
      <c r="CB121" s="530">
        <v>10</v>
      </c>
      <c r="CC121" s="531"/>
      <c r="CD121" s="532">
        <v>11</v>
      </c>
      <c r="CE121" s="532"/>
      <c r="CF121" s="600"/>
      <c r="CG121" s="613">
        <f>SUM(CC$112:CF121)</f>
        <v>40</v>
      </c>
      <c r="CH121" s="614">
        <f>CG121-CI121</f>
        <v>-2</v>
      </c>
      <c r="CI121" s="615">
        <f>SUM(CJ$112:CM121)</f>
        <v>42</v>
      </c>
      <c r="CJ121" s="531"/>
      <c r="CK121" s="532">
        <v>2</v>
      </c>
      <c r="CL121" s="532"/>
      <c r="CM121" s="600"/>
      <c r="CN121" s="605"/>
    </row>
    <row r="122" spans="1:92" s="517" customFormat="1" ht="15">
      <c r="A122" s="1537"/>
      <c r="B122" s="522"/>
      <c r="C122" s="534"/>
      <c r="D122" s="616"/>
      <c r="E122" s="616"/>
      <c r="F122" s="534"/>
      <c r="G122" s="616"/>
      <c r="H122" s="607"/>
      <c r="I122" s="607"/>
      <c r="J122" s="534"/>
      <c r="K122" s="616"/>
      <c r="L122" s="616"/>
      <c r="M122" s="534"/>
      <c r="N122" s="604"/>
      <c r="O122" s="522"/>
      <c r="P122" s="534"/>
      <c r="Q122" s="616"/>
      <c r="R122" s="616"/>
      <c r="S122" s="534"/>
      <c r="T122" s="616"/>
      <c r="U122" s="607"/>
      <c r="V122" s="607"/>
      <c r="W122" s="534"/>
      <c r="X122" s="616"/>
      <c r="Y122" s="616"/>
      <c r="Z122" s="534"/>
      <c r="AA122" s="604"/>
      <c r="AB122" s="522"/>
      <c r="AC122" s="616"/>
      <c r="AD122" s="616"/>
      <c r="AE122" s="616"/>
      <c r="AF122" s="616"/>
      <c r="AG122" s="616"/>
      <c r="AH122" s="607"/>
      <c r="AI122" s="607"/>
      <c r="AJ122" s="534"/>
      <c r="AK122" s="616"/>
      <c r="AL122" s="616"/>
      <c r="AM122" s="534"/>
      <c r="AN122" s="604"/>
      <c r="AO122" s="522"/>
      <c r="AP122" s="534"/>
      <c r="AQ122" s="616"/>
      <c r="AR122" s="616"/>
      <c r="AS122" s="534"/>
      <c r="AT122" s="616"/>
      <c r="AU122" s="607"/>
      <c r="AV122" s="607"/>
      <c r="AW122" s="534"/>
      <c r="AX122" s="616"/>
      <c r="AY122" s="616"/>
      <c r="AZ122" s="534"/>
      <c r="BA122" s="605"/>
      <c r="BB122" s="522"/>
      <c r="BC122" s="534"/>
      <c r="BD122" s="616"/>
      <c r="BE122" s="616"/>
      <c r="BF122" s="534"/>
      <c r="BG122" s="616"/>
      <c r="BH122" s="607"/>
      <c r="BI122" s="607"/>
      <c r="BJ122" s="534"/>
      <c r="BK122" s="616"/>
      <c r="BL122" s="616"/>
      <c r="BM122" s="534"/>
      <c r="BN122" s="605"/>
      <c r="BO122" s="529"/>
      <c r="BP122" s="518"/>
      <c r="BQ122" s="606"/>
      <c r="BR122" s="606"/>
      <c r="BS122" s="518"/>
      <c r="BT122" s="606"/>
      <c r="BU122" s="604"/>
      <c r="BV122" s="604"/>
      <c r="BW122" s="518"/>
      <c r="BX122" s="606"/>
      <c r="BY122" s="606"/>
      <c r="BZ122" s="518"/>
      <c r="CA122" s="605"/>
      <c r="CB122" s="533">
        <v>11</v>
      </c>
      <c r="CC122" s="532"/>
      <c r="CD122" s="531"/>
      <c r="CE122" s="1427">
        <v>10</v>
      </c>
      <c r="CF122" s="532"/>
      <c r="CG122" s="613">
        <f>SUM(CC$112:CF122)</f>
        <v>50</v>
      </c>
      <c r="CH122" s="614">
        <f t="shared" si="36"/>
        <v>8</v>
      </c>
      <c r="CI122" s="615">
        <f>SUM(CJ$112:CM122)</f>
        <v>42</v>
      </c>
      <c r="CJ122" s="532"/>
      <c r="CK122" s="531"/>
      <c r="CL122" s="532"/>
      <c r="CM122" s="532"/>
      <c r="CN122" s="605"/>
    </row>
    <row r="123" spans="1:92" s="517" customFormat="1">
      <c r="A123" s="1537"/>
      <c r="B123" s="522"/>
      <c r="C123" s="534"/>
      <c r="D123" s="616"/>
      <c r="E123" s="616"/>
      <c r="F123" s="534"/>
      <c r="G123" s="616"/>
      <c r="H123" s="607"/>
      <c r="I123" s="607"/>
      <c r="J123" s="534"/>
      <c r="K123" s="616"/>
      <c r="L123" s="616"/>
      <c r="M123" s="534"/>
      <c r="N123" s="604"/>
      <c r="O123" s="522"/>
      <c r="P123" s="534"/>
      <c r="Q123" s="616"/>
      <c r="R123" s="616"/>
      <c r="S123" s="534"/>
      <c r="T123" s="616"/>
      <c r="U123" s="607"/>
      <c r="V123" s="607"/>
      <c r="W123" s="534"/>
      <c r="X123" s="616"/>
      <c r="Y123" s="616"/>
      <c r="Z123" s="534"/>
      <c r="AA123" s="604"/>
      <c r="AB123" s="522"/>
      <c r="AC123" s="616"/>
      <c r="AD123" s="616"/>
      <c r="AE123" s="616"/>
      <c r="AF123" s="616"/>
      <c r="AG123" s="616"/>
      <c r="AH123" s="607"/>
      <c r="AI123" s="607"/>
      <c r="AJ123" s="534"/>
      <c r="AK123" s="616"/>
      <c r="AL123" s="616"/>
      <c r="AM123" s="534"/>
      <c r="AN123" s="604"/>
      <c r="AO123" s="522"/>
      <c r="AP123" s="534"/>
      <c r="AQ123" s="616"/>
      <c r="AR123" s="616"/>
      <c r="AS123" s="534"/>
      <c r="AT123" s="616"/>
      <c r="AU123" s="607"/>
      <c r="AV123" s="607"/>
      <c r="AW123" s="534"/>
      <c r="AX123" s="616"/>
      <c r="AY123" s="616"/>
      <c r="AZ123" s="534"/>
      <c r="BA123" s="605"/>
      <c r="BB123" s="522"/>
      <c r="BC123" s="534"/>
      <c r="BD123" s="616"/>
      <c r="BE123" s="616"/>
      <c r="BF123" s="534"/>
      <c r="BG123" s="616"/>
      <c r="BH123" s="607"/>
      <c r="BI123" s="607"/>
      <c r="BJ123" s="534"/>
      <c r="BK123" s="616"/>
      <c r="BL123" s="616"/>
      <c r="BM123" s="534"/>
      <c r="BN123" s="605"/>
      <c r="BO123" s="529"/>
      <c r="BP123" s="518"/>
      <c r="BQ123" s="606"/>
      <c r="BR123" s="606"/>
      <c r="BS123" s="518"/>
      <c r="BT123" s="606"/>
      <c r="BU123" s="604"/>
      <c r="BV123" s="604"/>
      <c r="BW123" s="518"/>
      <c r="BX123" s="606"/>
      <c r="BY123" s="606"/>
      <c r="BZ123" s="518"/>
      <c r="CA123" s="605"/>
      <c r="CB123" s="522"/>
      <c r="CC123" s="534"/>
      <c r="CD123" s="616"/>
      <c r="CE123" s="616"/>
      <c r="CF123" s="534"/>
      <c r="CG123" s="616"/>
      <c r="CH123" s="607"/>
      <c r="CI123" s="607"/>
      <c r="CJ123" s="534"/>
      <c r="CK123" s="616"/>
      <c r="CL123" s="616"/>
      <c r="CM123" s="534"/>
      <c r="CN123" s="605"/>
    </row>
    <row r="124" spans="1:92" s="517" customFormat="1" ht="15">
      <c r="A124" s="1537"/>
      <c r="B124" s="539" t="s">
        <v>3</v>
      </c>
      <c r="C124" s="531">
        <f>SUM(C112:C121)</f>
        <v>23</v>
      </c>
      <c r="D124" s="531">
        <f>SUM(D112:D121)</f>
        <v>5</v>
      </c>
      <c r="E124" s="531">
        <f>SUM(E112:E121)</f>
        <v>6</v>
      </c>
      <c r="F124" s="531">
        <f>SUM(F112:F121)</f>
        <v>14</v>
      </c>
      <c r="G124" s="541">
        <f>SUM(C124:F124)</f>
        <v>48</v>
      </c>
      <c r="H124" s="607"/>
      <c r="I124" s="541">
        <f>SUM(J124:M124)</f>
        <v>50</v>
      </c>
      <c r="J124" s="531">
        <f>SUM(J112:J121)</f>
        <v>21</v>
      </c>
      <c r="K124" s="531">
        <f>SUM(K112:K121)</f>
        <v>11</v>
      </c>
      <c r="L124" s="531">
        <f>SUM(L112:L121)</f>
        <v>14</v>
      </c>
      <c r="M124" s="540">
        <f>SUM(M112:M121)</f>
        <v>4</v>
      </c>
      <c r="N124" s="604"/>
      <c r="O124" s="539" t="s">
        <v>3</v>
      </c>
      <c r="P124" s="531">
        <f>SUM(P112:P121)</f>
        <v>7</v>
      </c>
      <c r="Q124" s="531">
        <f>SUM(Q112:Q121)</f>
        <v>3</v>
      </c>
      <c r="R124" s="531">
        <f>SUM(R112:R121)</f>
        <v>11</v>
      </c>
      <c r="S124" s="531">
        <f>SUM(S112:S121)</f>
        <v>2</v>
      </c>
      <c r="T124" s="541">
        <f>SUM(P124:S124)</f>
        <v>23</v>
      </c>
      <c r="U124" s="607"/>
      <c r="V124" s="541">
        <f>SUM(W124:Z124)</f>
        <v>50</v>
      </c>
      <c r="W124" s="531">
        <f>SUM(W112:W121)</f>
        <v>23</v>
      </c>
      <c r="X124" s="531">
        <f>SUM(X112:X121)</f>
        <v>8</v>
      </c>
      <c r="Y124" s="531">
        <f>SUM(Y112:Y121)</f>
        <v>15</v>
      </c>
      <c r="Z124" s="540">
        <f>SUM(Z112:Z121)</f>
        <v>4</v>
      </c>
      <c r="AA124" s="604"/>
      <c r="AB124" s="539" t="s">
        <v>3</v>
      </c>
      <c r="AC124" s="531">
        <f>SUM(AC112:AC121)</f>
        <v>5</v>
      </c>
      <c r="AD124" s="531">
        <f>SUM(AD112:AD121)</f>
        <v>27</v>
      </c>
      <c r="AE124" s="531">
        <f>SUM(AE112:AE121)</f>
        <v>6</v>
      </c>
      <c r="AF124" s="531">
        <f>SUM(AF112:AF121)</f>
        <v>4</v>
      </c>
      <c r="AG124" s="541">
        <f>SUM(AC124:AF124)</f>
        <v>42</v>
      </c>
      <c r="AH124" s="607"/>
      <c r="AI124" s="541">
        <f>SUM(AJ124:AM124)</f>
        <v>50</v>
      </c>
      <c r="AJ124" s="531">
        <f>SUM(AJ112:AJ121)</f>
        <v>19</v>
      </c>
      <c r="AK124" s="531">
        <f>SUM(AK112:AK121)</f>
        <v>13</v>
      </c>
      <c r="AL124" s="531">
        <f>SUM(AL112:AL121)</f>
        <v>8</v>
      </c>
      <c r="AM124" s="540">
        <f>SUM(AM112:AM121)</f>
        <v>10</v>
      </c>
      <c r="AN124" s="604"/>
      <c r="AO124" s="539" t="s">
        <v>3</v>
      </c>
      <c r="AP124" s="531">
        <f>SUM(AP112:AP121)</f>
        <v>12</v>
      </c>
      <c r="AQ124" s="531">
        <f>SUM(AQ112:AQ121)</f>
        <v>13</v>
      </c>
      <c r="AR124" s="531">
        <f>SUM(AR112:AR121)</f>
        <v>12</v>
      </c>
      <c r="AS124" s="531">
        <f>SUM(AS112:AS121)</f>
        <v>2</v>
      </c>
      <c r="AT124" s="541">
        <f>SUM(AP124:AS124)</f>
        <v>39</v>
      </c>
      <c r="AU124" s="607"/>
      <c r="AV124" s="541">
        <f>SUM(AW124:AZ124)</f>
        <v>50</v>
      </c>
      <c r="AW124" s="531">
        <f>SUM(AW112:AW121)</f>
        <v>18</v>
      </c>
      <c r="AX124" s="531">
        <f>SUM(AX112:AX121)</f>
        <v>16</v>
      </c>
      <c r="AY124" s="531">
        <f>SUM(AY112:AY121)</f>
        <v>13</v>
      </c>
      <c r="AZ124" s="540">
        <f>SUM(AZ112:AZ121)</f>
        <v>3</v>
      </c>
      <c r="BA124" s="605"/>
      <c r="BB124" s="539" t="s">
        <v>3</v>
      </c>
      <c r="BC124" s="531">
        <f>SUM(BC112:BC121)</f>
        <v>11</v>
      </c>
      <c r="BD124" s="531">
        <f>SUM(BD112:BD121)</f>
        <v>10</v>
      </c>
      <c r="BE124" s="531">
        <f>SUM(BE112:BE121)</f>
        <v>13</v>
      </c>
      <c r="BF124" s="531">
        <f>SUM(BF112:BF121)</f>
        <v>4</v>
      </c>
      <c r="BG124" s="541">
        <f>SUM(BC124:BF124)</f>
        <v>38</v>
      </c>
      <c r="BH124" s="607"/>
      <c r="BI124" s="541">
        <f>SUM(BJ124:BM124)</f>
        <v>50</v>
      </c>
      <c r="BJ124" s="531">
        <f>SUM(BJ112:BJ121)</f>
        <v>13</v>
      </c>
      <c r="BK124" s="531">
        <f>SUM(BK112:BK121)</f>
        <v>18</v>
      </c>
      <c r="BL124" s="531">
        <f>SUM(BL112:BL121)</f>
        <v>13</v>
      </c>
      <c r="BM124" s="540">
        <f>SUM(BM112:BM121)</f>
        <v>6</v>
      </c>
      <c r="BN124" s="605"/>
      <c r="BO124" s="536"/>
      <c r="BP124" s="518"/>
      <c r="BQ124" s="518"/>
      <c r="BR124" s="518"/>
      <c r="BS124" s="518"/>
      <c r="BT124" s="537"/>
      <c r="BU124" s="604"/>
      <c r="BV124" s="537"/>
      <c r="BW124" s="518"/>
      <c r="BX124" s="518"/>
      <c r="BY124" s="518"/>
      <c r="BZ124" s="518"/>
      <c r="CA124" s="605"/>
      <c r="CB124" s="539" t="s">
        <v>3</v>
      </c>
      <c r="CC124" s="531">
        <f>SUM(CC112:CC122)</f>
        <v>4</v>
      </c>
      <c r="CD124" s="531">
        <f t="shared" ref="CD124:CF124" si="37">SUM(CD112:CD122)</f>
        <v>28</v>
      </c>
      <c r="CE124" s="531">
        <f t="shared" si="37"/>
        <v>13</v>
      </c>
      <c r="CF124" s="531">
        <f t="shared" si="37"/>
        <v>5</v>
      </c>
      <c r="CG124" s="541">
        <f>SUM(CC124:CF124)</f>
        <v>50</v>
      </c>
      <c r="CH124" s="607"/>
      <c r="CI124" s="541">
        <f>SUM(CJ124:CM124)</f>
        <v>42</v>
      </c>
      <c r="CJ124" s="531">
        <f>SUM(CJ112:CJ121)</f>
        <v>19</v>
      </c>
      <c r="CK124" s="531">
        <f>SUM(CK112:CK121)</f>
        <v>11</v>
      </c>
      <c r="CL124" s="531">
        <f>SUM(CL112:CL121)</f>
        <v>4</v>
      </c>
      <c r="CM124" s="540">
        <f>SUM(CM112:CM121)</f>
        <v>8</v>
      </c>
      <c r="CN124" s="605"/>
    </row>
    <row r="125" spans="1:92" s="517" customFormat="1" ht="15">
      <c r="A125" s="1537"/>
      <c r="B125" s="542" t="s">
        <v>4</v>
      </c>
      <c r="C125" s="532">
        <f>COUNTA(C112:C121)</f>
        <v>3</v>
      </c>
      <c r="D125" s="532">
        <f>COUNTA(D112:D121)</f>
        <v>2</v>
      </c>
      <c r="E125" s="532">
        <f>COUNTA(E112:E121)</f>
        <v>2</v>
      </c>
      <c r="F125" s="532">
        <f>COUNTA(F112:F121)</f>
        <v>2</v>
      </c>
      <c r="G125" s="541">
        <f>SUM(C125:F125)</f>
        <v>9</v>
      </c>
      <c r="H125" s="607"/>
      <c r="I125" s="541">
        <f>SUM(J125:M125)</f>
        <v>9</v>
      </c>
      <c r="J125" s="532">
        <f>COUNTA(J112:J121)</f>
        <v>3</v>
      </c>
      <c r="K125" s="532">
        <f>COUNTA(K112:K121)</f>
        <v>2</v>
      </c>
      <c r="L125" s="532">
        <f>COUNTA(L112:L121)</f>
        <v>2</v>
      </c>
      <c r="M125" s="532">
        <f>COUNTA(M112:M121)</f>
        <v>2</v>
      </c>
      <c r="N125" s="604"/>
      <c r="O125" s="542" t="s">
        <v>4</v>
      </c>
      <c r="P125" s="532">
        <f>COUNTA(P112:P121)</f>
        <v>2</v>
      </c>
      <c r="Q125" s="532">
        <f>COUNTA(Q112:Q121)</f>
        <v>2</v>
      </c>
      <c r="R125" s="532">
        <f>COUNTA(R112:R121)</f>
        <v>2</v>
      </c>
      <c r="S125" s="532">
        <f>COUNTA(S112:S121)</f>
        <v>1</v>
      </c>
      <c r="T125" s="541">
        <f>SUM(P125:S125)</f>
        <v>7</v>
      </c>
      <c r="U125" s="607"/>
      <c r="V125" s="541">
        <f>SUM(W125:Z125)</f>
        <v>7</v>
      </c>
      <c r="W125" s="532">
        <f>COUNTA(W112:W121)</f>
        <v>2</v>
      </c>
      <c r="X125" s="532">
        <f>COUNTA(X112:X121)</f>
        <v>2</v>
      </c>
      <c r="Y125" s="532">
        <f>COUNTA(Y112:Y121)</f>
        <v>2</v>
      </c>
      <c r="Z125" s="532">
        <f>COUNTA(Z112:Z121)</f>
        <v>1</v>
      </c>
      <c r="AA125" s="604"/>
      <c r="AB125" s="542" t="s">
        <v>4</v>
      </c>
      <c r="AC125" s="532">
        <f>COUNTA(AC112:AC121)</f>
        <v>3</v>
      </c>
      <c r="AD125" s="532">
        <f>COUNTA(AD112:AD121)</f>
        <v>3</v>
      </c>
      <c r="AE125" s="532">
        <f>COUNTA(AE112:AE121)</f>
        <v>2</v>
      </c>
      <c r="AF125" s="532">
        <f>COUNTA(AF112:AF121)</f>
        <v>2</v>
      </c>
      <c r="AG125" s="541">
        <f>SUM(AC125:AF125)</f>
        <v>10</v>
      </c>
      <c r="AH125" s="607"/>
      <c r="AI125" s="541">
        <f>SUM(AJ125:AM125)</f>
        <v>10</v>
      </c>
      <c r="AJ125" s="532">
        <f>COUNTA(AJ112:AJ121)</f>
        <v>3</v>
      </c>
      <c r="AK125" s="532">
        <f>COUNTA(AK112:AK121)</f>
        <v>3</v>
      </c>
      <c r="AL125" s="532">
        <f>COUNTA(AL112:AL121)</f>
        <v>2</v>
      </c>
      <c r="AM125" s="532">
        <f>COUNTA(AM112:AM121)</f>
        <v>2</v>
      </c>
      <c r="AN125" s="604"/>
      <c r="AO125" s="542" t="s">
        <v>4</v>
      </c>
      <c r="AP125" s="532">
        <f>COUNTA(AP112:AP121)</f>
        <v>2</v>
      </c>
      <c r="AQ125" s="532">
        <f>COUNTA(AQ112:AQ121)</f>
        <v>2</v>
      </c>
      <c r="AR125" s="532">
        <f>COUNTA(AR112:AR121)</f>
        <v>2</v>
      </c>
      <c r="AS125" s="532">
        <f>COUNTA(AS112:AS121)</f>
        <v>1</v>
      </c>
      <c r="AT125" s="541">
        <f>SUM(AP125:AS125)</f>
        <v>7</v>
      </c>
      <c r="AU125" s="607"/>
      <c r="AV125" s="541">
        <f>SUM(AW125:AZ125)</f>
        <v>7</v>
      </c>
      <c r="AW125" s="532">
        <f>COUNTA(AW112:AW121)</f>
        <v>2</v>
      </c>
      <c r="AX125" s="532">
        <f>COUNTA(AX112:AX121)</f>
        <v>2</v>
      </c>
      <c r="AY125" s="532">
        <f>COUNTA(AY112:AY121)</f>
        <v>2</v>
      </c>
      <c r="AZ125" s="532">
        <f>COUNTA(AZ112:AZ121)</f>
        <v>1</v>
      </c>
      <c r="BA125" s="605"/>
      <c r="BB125" s="542" t="s">
        <v>4</v>
      </c>
      <c r="BC125" s="532">
        <f>COUNTA(BC112:BC121)</f>
        <v>3</v>
      </c>
      <c r="BD125" s="532">
        <f>COUNTA(BD112:BD121)</f>
        <v>2</v>
      </c>
      <c r="BE125" s="532">
        <f>COUNTA(BE112:BE121)</f>
        <v>2</v>
      </c>
      <c r="BF125" s="532">
        <f>COUNTA(BF112:BF121)</f>
        <v>2</v>
      </c>
      <c r="BG125" s="541">
        <f>SUM(BC125:BF125)</f>
        <v>9</v>
      </c>
      <c r="BH125" s="607"/>
      <c r="BI125" s="541">
        <f>SUM(BJ125:BM125)</f>
        <v>9</v>
      </c>
      <c r="BJ125" s="532">
        <f>COUNTA(BJ112:BJ121)</f>
        <v>3</v>
      </c>
      <c r="BK125" s="532">
        <f>COUNTA(BK112:BK121)</f>
        <v>2</v>
      </c>
      <c r="BL125" s="532">
        <f>COUNTA(BL112:BL121)</f>
        <v>2</v>
      </c>
      <c r="BM125" s="532">
        <f>COUNTA(BM112:BM121)</f>
        <v>2</v>
      </c>
      <c r="BN125" s="605"/>
      <c r="BO125" s="536"/>
      <c r="BP125" s="538"/>
      <c r="BQ125" s="538"/>
      <c r="BR125" s="538"/>
      <c r="BS125" s="538"/>
      <c r="BT125" s="537"/>
      <c r="BU125" s="604"/>
      <c r="BV125" s="537"/>
      <c r="BW125" s="520"/>
      <c r="BX125" s="520"/>
      <c r="BY125" s="520"/>
      <c r="BZ125" s="520"/>
      <c r="CA125" s="605"/>
      <c r="CB125" s="542" t="s">
        <v>4</v>
      </c>
      <c r="CC125" s="532">
        <f>COUNTA(CC112:CC121)</f>
        <v>3</v>
      </c>
      <c r="CD125" s="532">
        <f>COUNTA(CD112:CD121)</f>
        <v>3</v>
      </c>
      <c r="CE125" s="532">
        <f>COUNTA(CE112:CE121)</f>
        <v>2</v>
      </c>
      <c r="CF125" s="532">
        <f>COUNTA(CF112:CF121)</f>
        <v>2</v>
      </c>
      <c r="CG125" s="541">
        <f>SUM(CC125:CF125)</f>
        <v>10</v>
      </c>
      <c r="CH125" s="607"/>
      <c r="CI125" s="541">
        <f>SUM(CJ125:CM125)</f>
        <v>10</v>
      </c>
      <c r="CJ125" s="532">
        <f>COUNTA(CJ112:CJ121)</f>
        <v>3</v>
      </c>
      <c r="CK125" s="532">
        <f>COUNTA(CK112:CK121)</f>
        <v>3</v>
      </c>
      <c r="CL125" s="532">
        <f>COUNTA(CL112:CL121)</f>
        <v>2</v>
      </c>
      <c r="CM125" s="532">
        <f>COUNTA(CM112:CM121)</f>
        <v>2</v>
      </c>
      <c r="CN125" s="605"/>
    </row>
    <row r="126" spans="1:92" s="517" customFormat="1" ht="15">
      <c r="A126" s="1537"/>
      <c r="B126" s="539" t="s">
        <v>6</v>
      </c>
      <c r="C126" s="531">
        <f>C125-COUNT(C112:C121)</f>
        <v>0</v>
      </c>
      <c r="D126" s="531">
        <f>D125-COUNT(D112:D121)</f>
        <v>0</v>
      </c>
      <c r="E126" s="531">
        <f>E125-COUNT(E112:E121)</f>
        <v>0</v>
      </c>
      <c r="F126" s="531">
        <f>F125-COUNT(F112:F121)</f>
        <v>0</v>
      </c>
      <c r="G126" s="541">
        <f>SUM(C126:F126)</f>
        <v>0</v>
      </c>
      <c r="H126" s="607"/>
      <c r="I126" s="541">
        <f>SUM(J126:M126)</f>
        <v>0</v>
      </c>
      <c r="J126" s="531">
        <f>J125-COUNT(J112:J121)</f>
        <v>0</v>
      </c>
      <c r="K126" s="540">
        <f>K125-COUNT(K112:K121)</f>
        <v>0</v>
      </c>
      <c r="L126" s="540">
        <f>L125-COUNT(L112:L121)</f>
        <v>0</v>
      </c>
      <c r="M126" s="531">
        <f>M125-COUNT(M112:M121)</f>
        <v>0</v>
      </c>
      <c r="N126" s="604"/>
      <c r="O126" s="539" t="s">
        <v>6</v>
      </c>
      <c r="P126" s="531">
        <f>P125-COUNT(P112:P121)</f>
        <v>1</v>
      </c>
      <c r="Q126" s="531">
        <f>Q125-COUNT(Q112:Q121)</f>
        <v>1</v>
      </c>
      <c r="R126" s="531">
        <f>R125-COUNT(R112:R121)</f>
        <v>0</v>
      </c>
      <c r="S126" s="531">
        <f>S125-COUNT(S112:S121)</f>
        <v>0</v>
      </c>
      <c r="T126" s="541">
        <f>SUM(P126:S126)</f>
        <v>2</v>
      </c>
      <c r="U126" s="607"/>
      <c r="V126" s="541">
        <f>SUM(W126:Z126)</f>
        <v>0</v>
      </c>
      <c r="W126" s="531">
        <f>W125-COUNT(W112:W121)</f>
        <v>0</v>
      </c>
      <c r="X126" s="540">
        <f>X125-COUNT(X112:X121)</f>
        <v>0</v>
      </c>
      <c r="Y126" s="540">
        <f>Y125-COUNT(Y112:Y121)</f>
        <v>0</v>
      </c>
      <c r="Z126" s="531">
        <f>Z125-COUNT(Z112:Z121)</f>
        <v>0</v>
      </c>
      <c r="AA126" s="604"/>
      <c r="AB126" s="539" t="s">
        <v>6</v>
      </c>
      <c r="AC126" s="531">
        <f>AC125-COUNT(AC112:AC121)</f>
        <v>1</v>
      </c>
      <c r="AD126" s="531">
        <f>AD125-COUNT(AD112:AD121)</f>
        <v>0</v>
      </c>
      <c r="AE126" s="531">
        <f>AE125-COUNT(AE112:AE121)</f>
        <v>1</v>
      </c>
      <c r="AF126" s="531">
        <f>AF125-COUNT(AF112:AF121)</f>
        <v>1</v>
      </c>
      <c r="AG126" s="541">
        <f>SUM(AC126:AF126)</f>
        <v>3</v>
      </c>
      <c r="AH126" s="607"/>
      <c r="AI126" s="541">
        <f>SUM(AJ126:AM126)</f>
        <v>0</v>
      </c>
      <c r="AJ126" s="531">
        <f>AJ125-COUNT(AJ112:AJ121)</f>
        <v>0</v>
      </c>
      <c r="AK126" s="540">
        <f>AK125-COUNT(AK112:AK121)</f>
        <v>0</v>
      </c>
      <c r="AL126" s="540">
        <f>AL125-COUNT(AL112:AL121)</f>
        <v>0</v>
      </c>
      <c r="AM126" s="531">
        <f>AM125-COUNT(AM112:AM121)</f>
        <v>0</v>
      </c>
      <c r="AN126" s="604"/>
      <c r="AO126" s="539" t="s">
        <v>6</v>
      </c>
      <c r="AP126" s="531">
        <f>AP125-COUNT(AP112:AP121)</f>
        <v>0</v>
      </c>
      <c r="AQ126" s="531">
        <f>AQ125-COUNT(AQ112:AQ121)</f>
        <v>0</v>
      </c>
      <c r="AR126" s="531">
        <f>AR125-COUNT(AR112:AR121)</f>
        <v>1</v>
      </c>
      <c r="AS126" s="531">
        <f>AS125-COUNT(AS112:AS121)</f>
        <v>0</v>
      </c>
      <c r="AT126" s="541">
        <f>SUM(AP126:AS126)</f>
        <v>1</v>
      </c>
      <c r="AU126" s="607"/>
      <c r="AV126" s="541">
        <f>SUM(AW126:AZ126)</f>
        <v>0</v>
      </c>
      <c r="AW126" s="531">
        <f>AW125-COUNT(AW112:AW121)</f>
        <v>0</v>
      </c>
      <c r="AX126" s="540">
        <f>AX125-COUNT(AX112:AX121)</f>
        <v>0</v>
      </c>
      <c r="AY126" s="540">
        <f>AY125-COUNT(AY112:AY121)</f>
        <v>0</v>
      </c>
      <c r="AZ126" s="531">
        <f>AZ125-COUNT(AZ112:AZ121)</f>
        <v>0</v>
      </c>
      <c r="BA126" s="605"/>
      <c r="BB126" s="539" t="s">
        <v>6</v>
      </c>
      <c r="BC126" s="531">
        <f>BC125-COUNT(BC112:BC121)</f>
        <v>1</v>
      </c>
      <c r="BD126" s="531">
        <f>BD125-COUNT(BD112:BD121)</f>
        <v>1</v>
      </c>
      <c r="BE126" s="531">
        <f>BE125-COUNT(BE112:BE121)</f>
        <v>0</v>
      </c>
      <c r="BF126" s="531">
        <f>BF125-COUNT(BF112:BF121)</f>
        <v>1</v>
      </c>
      <c r="BG126" s="541">
        <f>SUM(BC126:BF126)</f>
        <v>3</v>
      </c>
      <c r="BH126" s="607"/>
      <c r="BI126" s="541">
        <f>SUM(BJ126:BM126)</f>
        <v>0</v>
      </c>
      <c r="BJ126" s="531">
        <f>BJ125-COUNT(BJ112:BJ121)</f>
        <v>0</v>
      </c>
      <c r="BK126" s="540">
        <f>BK125-COUNT(BK112:BK121)</f>
        <v>0</v>
      </c>
      <c r="BL126" s="540">
        <f>BL125-COUNT(BL112:BL121)</f>
        <v>0</v>
      </c>
      <c r="BM126" s="531">
        <f>BM125-COUNT(BM112:BM121)</f>
        <v>0</v>
      </c>
      <c r="BN126" s="605"/>
      <c r="BO126" s="536"/>
      <c r="BP126" s="543"/>
      <c r="BQ126" s="545"/>
      <c r="BR126" s="545"/>
      <c r="BS126" s="545"/>
      <c r="BT126" s="544"/>
      <c r="BU126" s="604"/>
      <c r="BV126" s="544"/>
      <c r="BW126" s="543"/>
      <c r="BX126" s="543"/>
      <c r="BY126" s="543"/>
      <c r="BZ126" s="543"/>
      <c r="CA126" s="605"/>
      <c r="CB126" s="539" t="s">
        <v>6</v>
      </c>
      <c r="CC126" s="531">
        <f>CC125-COUNT(CC112:CC121)</f>
        <v>2</v>
      </c>
      <c r="CD126" s="531">
        <f>CD125-COUNT(CD112:CD121)</f>
        <v>0</v>
      </c>
      <c r="CE126" s="531">
        <f>CE125-COUNT(CE112:CE121)</f>
        <v>1</v>
      </c>
      <c r="CF126" s="531">
        <f>CF125-COUNT(CF112:CF121)</f>
        <v>1</v>
      </c>
      <c r="CG126" s="541">
        <f>SUM(CC126:CF126)</f>
        <v>4</v>
      </c>
      <c r="CH126" s="607"/>
      <c r="CI126" s="541">
        <f>SUM(CJ126:CM126)</f>
        <v>2</v>
      </c>
      <c r="CJ126" s="531">
        <f>CJ125-COUNT(CJ112:CJ121)</f>
        <v>1</v>
      </c>
      <c r="CK126" s="540">
        <f>CK125-COUNT(CK112:CK121)</f>
        <v>0</v>
      </c>
      <c r="CL126" s="540">
        <f>CL125-COUNT(CL112:CL121)</f>
        <v>1</v>
      </c>
      <c r="CM126" s="531">
        <f>CM125-COUNT(CM112:CM121)</f>
        <v>0</v>
      </c>
      <c r="CN126" s="605"/>
    </row>
    <row r="127" spans="1:92" s="517" customFormat="1" ht="15">
      <c r="A127" s="1537"/>
      <c r="B127" s="539" t="s">
        <v>12</v>
      </c>
      <c r="C127" s="549">
        <f>C126/C125</f>
        <v>0</v>
      </c>
      <c r="D127" s="546">
        <f>D126/D125</f>
        <v>0</v>
      </c>
      <c r="E127" s="546">
        <f>E126/E125</f>
        <v>0</v>
      </c>
      <c r="F127" s="546">
        <f>F126/F125</f>
        <v>0</v>
      </c>
      <c r="G127" s="548">
        <f>G126/G125</f>
        <v>0</v>
      </c>
      <c r="H127" s="607"/>
      <c r="I127" s="548">
        <f>I126/I125</f>
        <v>0</v>
      </c>
      <c r="J127" s="546">
        <f>J126/J125</f>
        <v>0</v>
      </c>
      <c r="K127" s="547">
        <f>K126/K125</f>
        <v>0</v>
      </c>
      <c r="L127" s="547">
        <f>L126/L125</f>
        <v>0</v>
      </c>
      <c r="M127" s="546">
        <f>M126/M125</f>
        <v>0</v>
      </c>
      <c r="N127" s="604"/>
      <c r="O127" s="539" t="s">
        <v>12</v>
      </c>
      <c r="P127" s="549">
        <f>P126/P125</f>
        <v>0.5</v>
      </c>
      <c r="Q127" s="546">
        <f>Q126/Q125</f>
        <v>0.5</v>
      </c>
      <c r="R127" s="546">
        <f>R126/R125</f>
        <v>0</v>
      </c>
      <c r="S127" s="546">
        <f>S126/S125</f>
        <v>0</v>
      </c>
      <c r="T127" s="548">
        <f>T126/T125</f>
        <v>0.2857142857142857</v>
      </c>
      <c r="U127" s="607"/>
      <c r="V127" s="548">
        <f>V126/V125</f>
        <v>0</v>
      </c>
      <c r="W127" s="546">
        <f>W126/W125</f>
        <v>0</v>
      </c>
      <c r="X127" s="547">
        <f>X126/X125</f>
        <v>0</v>
      </c>
      <c r="Y127" s="547">
        <f>Y126/Y125</f>
        <v>0</v>
      </c>
      <c r="Z127" s="546">
        <f>Z126/Z125</f>
        <v>0</v>
      </c>
      <c r="AA127" s="604"/>
      <c r="AB127" s="539" t="s">
        <v>12</v>
      </c>
      <c r="AC127" s="549">
        <f>AC126/AC125</f>
        <v>0.33333333333333331</v>
      </c>
      <c r="AD127" s="546">
        <f>AD126/AD125</f>
        <v>0</v>
      </c>
      <c r="AE127" s="546">
        <f>AE126/AE125</f>
        <v>0.5</v>
      </c>
      <c r="AF127" s="546">
        <f>AF126/AF125</f>
        <v>0.5</v>
      </c>
      <c r="AG127" s="548">
        <f>AG126/AG125</f>
        <v>0.3</v>
      </c>
      <c r="AH127" s="607"/>
      <c r="AI127" s="548">
        <f>AI126/AI125</f>
        <v>0</v>
      </c>
      <c r="AJ127" s="546">
        <f>AJ126/AJ125</f>
        <v>0</v>
      </c>
      <c r="AK127" s="547">
        <f>AK126/AK125</f>
        <v>0</v>
      </c>
      <c r="AL127" s="547">
        <f>AL126/AL125</f>
        <v>0</v>
      </c>
      <c r="AM127" s="546">
        <f>AM126/AM125</f>
        <v>0</v>
      </c>
      <c r="AN127" s="604"/>
      <c r="AO127" s="539" t="s">
        <v>12</v>
      </c>
      <c r="AP127" s="549">
        <f>AP126/AP125</f>
        <v>0</v>
      </c>
      <c r="AQ127" s="546">
        <f>AQ126/AQ125</f>
        <v>0</v>
      </c>
      <c r="AR127" s="546">
        <f>AR126/AR125</f>
        <v>0.5</v>
      </c>
      <c r="AS127" s="546">
        <f>AS126/AS125</f>
        <v>0</v>
      </c>
      <c r="AT127" s="548">
        <f>AT126/AT125</f>
        <v>0.14285714285714285</v>
      </c>
      <c r="AU127" s="607"/>
      <c r="AV127" s="548">
        <f>AV126/AV125</f>
        <v>0</v>
      </c>
      <c r="AW127" s="546">
        <f>AW126/AW125</f>
        <v>0</v>
      </c>
      <c r="AX127" s="547">
        <f>AX126/AX125</f>
        <v>0</v>
      </c>
      <c r="AY127" s="547">
        <f>AY126/AY125</f>
        <v>0</v>
      </c>
      <c r="AZ127" s="546">
        <f>AZ126/AZ125</f>
        <v>0</v>
      </c>
      <c r="BA127" s="605"/>
      <c r="BB127" s="539" t="s">
        <v>12</v>
      </c>
      <c r="BC127" s="549">
        <f>BC126/BC125</f>
        <v>0.33333333333333331</v>
      </c>
      <c r="BD127" s="546">
        <f>BD126/BD125</f>
        <v>0.5</v>
      </c>
      <c r="BE127" s="546">
        <f>BE126/BE125</f>
        <v>0</v>
      </c>
      <c r="BF127" s="546">
        <f>BF126/BF125</f>
        <v>0.5</v>
      </c>
      <c r="BG127" s="548">
        <f>BG126/BG125</f>
        <v>0.33333333333333331</v>
      </c>
      <c r="BH127" s="607"/>
      <c r="BI127" s="548">
        <f>BI126/BI125</f>
        <v>0</v>
      </c>
      <c r="BJ127" s="546">
        <f>BJ126/BJ125</f>
        <v>0</v>
      </c>
      <c r="BK127" s="547">
        <f>BK126/BK125</f>
        <v>0</v>
      </c>
      <c r="BL127" s="547">
        <f>BL126/BL125</f>
        <v>0</v>
      </c>
      <c r="BM127" s="546">
        <f>BM126/BM125</f>
        <v>0</v>
      </c>
      <c r="BN127" s="605"/>
      <c r="BO127" s="536"/>
      <c r="BP127" s="550"/>
      <c r="BQ127" s="552"/>
      <c r="BR127" s="552"/>
      <c r="BS127" s="550"/>
      <c r="BT127" s="551"/>
      <c r="BU127" s="604"/>
      <c r="BV127" s="551"/>
      <c r="BW127" s="550"/>
      <c r="BX127" s="550"/>
      <c r="BY127" s="550"/>
      <c r="BZ127" s="550"/>
      <c r="CA127" s="605"/>
      <c r="CB127" s="539" t="s">
        <v>12</v>
      </c>
      <c r="CC127" s="549">
        <f>CC126/CC125</f>
        <v>0.66666666666666663</v>
      </c>
      <c r="CD127" s="546">
        <f>CD126/CD125</f>
        <v>0</v>
      </c>
      <c r="CE127" s="546">
        <f>CE126/CE125</f>
        <v>0.5</v>
      </c>
      <c r="CF127" s="546">
        <f>CF126/CF125</f>
        <v>0.5</v>
      </c>
      <c r="CG127" s="548">
        <f>CG126/CG125</f>
        <v>0.4</v>
      </c>
      <c r="CH127" s="607"/>
      <c r="CI127" s="548">
        <f>CI126/CI125</f>
        <v>0.2</v>
      </c>
      <c r="CJ127" s="546">
        <f>CJ126/CJ125</f>
        <v>0.33333333333333331</v>
      </c>
      <c r="CK127" s="547">
        <f>CK126/CK125</f>
        <v>0</v>
      </c>
      <c r="CL127" s="547">
        <f>CL126/CL125</f>
        <v>0.5</v>
      </c>
      <c r="CM127" s="546">
        <f>CM126/CM125</f>
        <v>0</v>
      </c>
      <c r="CN127" s="605"/>
    </row>
    <row r="128" spans="1:92" s="517" customFormat="1" ht="15">
      <c r="A128" s="1537"/>
      <c r="B128" s="539" t="s">
        <v>5</v>
      </c>
      <c r="C128" s="553">
        <f>C124/C125</f>
        <v>7.666666666666667</v>
      </c>
      <c r="D128" s="553">
        <f>D124/D125</f>
        <v>2.5</v>
      </c>
      <c r="E128" s="553">
        <f>E124/E125</f>
        <v>3</v>
      </c>
      <c r="F128" s="553">
        <f>F124/F125</f>
        <v>7</v>
      </c>
      <c r="G128" s="555">
        <f>G124/G125</f>
        <v>5.333333333333333</v>
      </c>
      <c r="H128" s="607"/>
      <c r="I128" s="555">
        <f>I124/I125</f>
        <v>5.5555555555555554</v>
      </c>
      <c r="J128" s="553">
        <f>J124/J125</f>
        <v>7</v>
      </c>
      <c r="K128" s="553">
        <f>K124/K125</f>
        <v>5.5</v>
      </c>
      <c r="L128" s="553">
        <f>L124/L125</f>
        <v>7</v>
      </c>
      <c r="M128" s="554">
        <f>M124/M125</f>
        <v>2</v>
      </c>
      <c r="N128" s="604"/>
      <c r="O128" s="539" t="s">
        <v>5</v>
      </c>
      <c r="P128" s="553">
        <f>P124/P125</f>
        <v>3.5</v>
      </c>
      <c r="Q128" s="553">
        <f>Q124/Q125</f>
        <v>1.5</v>
      </c>
      <c r="R128" s="553">
        <f>R124/R125</f>
        <v>5.5</v>
      </c>
      <c r="S128" s="553">
        <f>S124/S125</f>
        <v>2</v>
      </c>
      <c r="T128" s="555">
        <f>T124/T125</f>
        <v>3.2857142857142856</v>
      </c>
      <c r="U128" s="607"/>
      <c r="V128" s="555">
        <f>V124/V125</f>
        <v>7.1428571428571432</v>
      </c>
      <c r="W128" s="553">
        <f>W124/W125</f>
        <v>11.5</v>
      </c>
      <c r="X128" s="553">
        <f>X124/X125</f>
        <v>4</v>
      </c>
      <c r="Y128" s="553">
        <f>Y124/Y125</f>
        <v>7.5</v>
      </c>
      <c r="Z128" s="554">
        <f>Z124/Z125</f>
        <v>4</v>
      </c>
      <c r="AA128" s="604"/>
      <c r="AB128" s="539" t="s">
        <v>5</v>
      </c>
      <c r="AC128" s="553">
        <f>AC124/AC125</f>
        <v>1.6666666666666667</v>
      </c>
      <c r="AD128" s="553">
        <f>AD124/AD125</f>
        <v>9</v>
      </c>
      <c r="AE128" s="553">
        <f>AE124/AE125</f>
        <v>3</v>
      </c>
      <c r="AF128" s="553">
        <f>AF124/AF125</f>
        <v>2</v>
      </c>
      <c r="AG128" s="555">
        <f>AG124/AG125</f>
        <v>4.2</v>
      </c>
      <c r="AH128" s="607"/>
      <c r="AI128" s="555">
        <f>AI124/AI125</f>
        <v>5</v>
      </c>
      <c r="AJ128" s="553">
        <f>AJ124/AJ125</f>
        <v>6.333333333333333</v>
      </c>
      <c r="AK128" s="553">
        <f>AK124/AK125</f>
        <v>4.333333333333333</v>
      </c>
      <c r="AL128" s="553">
        <f>AL124/AL125</f>
        <v>4</v>
      </c>
      <c r="AM128" s="554">
        <f>AM124/AM125</f>
        <v>5</v>
      </c>
      <c r="AN128" s="604"/>
      <c r="AO128" s="539" t="s">
        <v>5</v>
      </c>
      <c r="AP128" s="553">
        <f>AP124/AP125</f>
        <v>6</v>
      </c>
      <c r="AQ128" s="553">
        <f>AQ124/AQ125</f>
        <v>6.5</v>
      </c>
      <c r="AR128" s="553">
        <f>AR124/AR125</f>
        <v>6</v>
      </c>
      <c r="AS128" s="553">
        <f>AS124/AS125</f>
        <v>2</v>
      </c>
      <c r="AT128" s="555">
        <f>AT124/AT125</f>
        <v>5.5714285714285712</v>
      </c>
      <c r="AU128" s="607"/>
      <c r="AV128" s="555">
        <f>AV124/AV125</f>
        <v>7.1428571428571432</v>
      </c>
      <c r="AW128" s="553">
        <f>AW124/AW125</f>
        <v>9</v>
      </c>
      <c r="AX128" s="553">
        <f>AX124/AX125</f>
        <v>8</v>
      </c>
      <c r="AY128" s="553">
        <f>AY124/AY125</f>
        <v>6.5</v>
      </c>
      <c r="AZ128" s="554">
        <f>AZ124/AZ125</f>
        <v>3</v>
      </c>
      <c r="BA128" s="605"/>
      <c r="BB128" s="539" t="s">
        <v>5</v>
      </c>
      <c r="BC128" s="553">
        <f>BC124/BC125</f>
        <v>3.6666666666666665</v>
      </c>
      <c r="BD128" s="553">
        <f>BD124/BD125</f>
        <v>5</v>
      </c>
      <c r="BE128" s="553">
        <f>BE124/BE125</f>
        <v>6.5</v>
      </c>
      <c r="BF128" s="553">
        <f>BF124/BF125</f>
        <v>2</v>
      </c>
      <c r="BG128" s="555">
        <f>BG124/BG125</f>
        <v>4.2222222222222223</v>
      </c>
      <c r="BH128" s="607"/>
      <c r="BI128" s="555">
        <f>BI124/BI125</f>
        <v>5.5555555555555554</v>
      </c>
      <c r="BJ128" s="553">
        <f>BJ124/BJ125</f>
        <v>4.333333333333333</v>
      </c>
      <c r="BK128" s="553">
        <f>BK124/BK125</f>
        <v>9</v>
      </c>
      <c r="BL128" s="553">
        <f>BL124/BL125</f>
        <v>6.5</v>
      </c>
      <c r="BM128" s="554">
        <f>BM124/BM125</f>
        <v>3</v>
      </c>
      <c r="BN128" s="605"/>
      <c r="BO128" s="536"/>
      <c r="BP128" s="550"/>
      <c r="BQ128" s="552"/>
      <c r="BR128" s="552"/>
      <c r="BS128" s="556"/>
      <c r="BT128" s="557"/>
      <c r="BU128" s="604"/>
      <c r="BV128" s="557"/>
      <c r="BW128" s="556"/>
      <c r="BX128" s="556"/>
      <c r="BY128" s="556"/>
      <c r="BZ128" s="556"/>
      <c r="CA128" s="605"/>
      <c r="CB128" s="539" t="s">
        <v>5</v>
      </c>
      <c r="CC128" s="553">
        <f>CC124/CC125</f>
        <v>1.3333333333333333</v>
      </c>
      <c r="CD128" s="553">
        <f>CD124/CD125</f>
        <v>9.3333333333333339</v>
      </c>
      <c r="CE128" s="553">
        <f>CE124/CE125</f>
        <v>6.5</v>
      </c>
      <c r="CF128" s="553">
        <f>CF124/CF125</f>
        <v>2.5</v>
      </c>
      <c r="CG128" s="555">
        <f>CG124/CG125</f>
        <v>5</v>
      </c>
      <c r="CH128" s="607"/>
      <c r="CI128" s="555">
        <f>CI124/CI125</f>
        <v>4.2</v>
      </c>
      <c r="CJ128" s="553">
        <f>CJ124/CJ125</f>
        <v>6.333333333333333</v>
      </c>
      <c r="CK128" s="553">
        <f>CK124/CK125</f>
        <v>3.6666666666666665</v>
      </c>
      <c r="CL128" s="553">
        <f>CL124/CL125</f>
        <v>2</v>
      </c>
      <c r="CM128" s="554">
        <f>CM124/CM125</f>
        <v>4</v>
      </c>
      <c r="CN128" s="605"/>
    </row>
    <row r="129" spans="1:92" s="517" customFormat="1" ht="15">
      <c r="A129" s="1537"/>
      <c r="B129" s="539" t="s">
        <v>8</v>
      </c>
      <c r="C129" s="558">
        <f>C124/(C125-C126)</f>
        <v>7.666666666666667</v>
      </c>
      <c r="D129" s="558">
        <f>D124/(D125-D126)</f>
        <v>2.5</v>
      </c>
      <c r="E129" s="558">
        <f>E124/(E125-E126)</f>
        <v>3</v>
      </c>
      <c r="F129" s="558">
        <f>F124/(F125-F126)</f>
        <v>7</v>
      </c>
      <c r="G129" s="559">
        <f>G124/(G125-G126)</f>
        <v>5.333333333333333</v>
      </c>
      <c r="H129" s="607"/>
      <c r="I129" s="559">
        <f>I124/(I125-I126)</f>
        <v>5.5555555555555554</v>
      </c>
      <c r="J129" s="558">
        <f>J124/(J125-J126)</f>
        <v>7</v>
      </c>
      <c r="K129" s="553">
        <f>K124/(K125-K126)</f>
        <v>5.5</v>
      </c>
      <c r="L129" s="553">
        <f>L124/(L125-L126)</f>
        <v>7</v>
      </c>
      <c r="M129" s="554">
        <f>M124/(M125-M126)</f>
        <v>2</v>
      </c>
      <c r="N129" s="604"/>
      <c r="O129" s="539" t="s">
        <v>8</v>
      </c>
      <c r="P129" s="558">
        <f>P124/(P125-P126)</f>
        <v>7</v>
      </c>
      <c r="Q129" s="558">
        <f>Q124/(Q125-Q126)</f>
        <v>3</v>
      </c>
      <c r="R129" s="558">
        <f>R124/(R125-R126)</f>
        <v>5.5</v>
      </c>
      <c r="S129" s="558">
        <f>S124/(S125-S126)</f>
        <v>2</v>
      </c>
      <c r="T129" s="559">
        <f>T124/(T125-T126)</f>
        <v>4.5999999999999996</v>
      </c>
      <c r="U129" s="607"/>
      <c r="V129" s="559">
        <f>V124/(V125-V126)</f>
        <v>7.1428571428571432</v>
      </c>
      <c r="W129" s="558">
        <f>W124/(W125-W126)</f>
        <v>11.5</v>
      </c>
      <c r="X129" s="553">
        <f>X124/(X125-X126)</f>
        <v>4</v>
      </c>
      <c r="Y129" s="553">
        <f>Y124/(Y125-Y126)</f>
        <v>7.5</v>
      </c>
      <c r="Z129" s="554">
        <f>Z124/(Z125-Z126)</f>
        <v>4</v>
      </c>
      <c r="AA129" s="604"/>
      <c r="AB129" s="539" t="s">
        <v>8</v>
      </c>
      <c r="AC129" s="558">
        <f>AC124/(AC125-AC126)</f>
        <v>2.5</v>
      </c>
      <c r="AD129" s="558">
        <f>AD124/(AD125-AD126)</f>
        <v>9</v>
      </c>
      <c r="AE129" s="558">
        <f>AE124/(AE125-AE126)</f>
        <v>6</v>
      </c>
      <c r="AF129" s="558">
        <f>AF124/(AF125-AF126)</f>
        <v>4</v>
      </c>
      <c r="AG129" s="559">
        <f>AG124/(AG125-AG126)</f>
        <v>6</v>
      </c>
      <c r="AH129" s="607"/>
      <c r="AI129" s="559">
        <f>AI124/(AI125-AI126)</f>
        <v>5</v>
      </c>
      <c r="AJ129" s="558">
        <f>AJ124/(AJ125-AJ126)</f>
        <v>6.333333333333333</v>
      </c>
      <c r="AK129" s="553">
        <f>AK124/(AK125-AK126)</f>
        <v>4.333333333333333</v>
      </c>
      <c r="AL129" s="553">
        <f>AL124/(AL125-AL126)</f>
        <v>4</v>
      </c>
      <c r="AM129" s="554">
        <f>AM124/(AM125-AM126)</f>
        <v>5</v>
      </c>
      <c r="AN129" s="604"/>
      <c r="AO129" s="539" t="s">
        <v>8</v>
      </c>
      <c r="AP129" s="558">
        <f>AP124/(AP125-AP126)</f>
        <v>6</v>
      </c>
      <c r="AQ129" s="558">
        <f>AQ124/(AQ125-AQ126)</f>
        <v>6.5</v>
      </c>
      <c r="AR129" s="558">
        <f>AR124/(AR125-AR126)</f>
        <v>12</v>
      </c>
      <c r="AS129" s="558">
        <f>AS124/(AS125-AS126)</f>
        <v>2</v>
      </c>
      <c r="AT129" s="559">
        <f>AT124/(AT125-AT126)</f>
        <v>6.5</v>
      </c>
      <c r="AU129" s="607"/>
      <c r="AV129" s="559">
        <f>AV124/(AV125-AV126)</f>
        <v>7.1428571428571432</v>
      </c>
      <c r="AW129" s="558">
        <f>AW124/(AW125-AW126)</f>
        <v>9</v>
      </c>
      <c r="AX129" s="553">
        <f>AX124/(AX125-AX126)</f>
        <v>8</v>
      </c>
      <c r="AY129" s="553">
        <f>AY124/(AY125-AY126)</f>
        <v>6.5</v>
      </c>
      <c r="AZ129" s="554">
        <f>AZ124/(AZ125-AZ126)</f>
        <v>3</v>
      </c>
      <c r="BA129" s="605"/>
      <c r="BB129" s="539" t="s">
        <v>8</v>
      </c>
      <c r="BC129" s="558">
        <f>BC124/(BC125-BC126)</f>
        <v>5.5</v>
      </c>
      <c r="BD129" s="558">
        <f>BD124/(BD125-BD126)</f>
        <v>10</v>
      </c>
      <c r="BE129" s="558">
        <f>BE124/(BE125-BE126)</f>
        <v>6.5</v>
      </c>
      <c r="BF129" s="558">
        <f>BF124/(BF125-BF126)</f>
        <v>4</v>
      </c>
      <c r="BG129" s="559">
        <f>BG124/(BG125-BG126)</f>
        <v>6.333333333333333</v>
      </c>
      <c r="BH129" s="607"/>
      <c r="BI129" s="559">
        <f>BI124/(BI125-BI126)</f>
        <v>5.5555555555555554</v>
      </c>
      <c r="BJ129" s="558">
        <f>BJ124/(BJ125-BJ126)</f>
        <v>4.333333333333333</v>
      </c>
      <c r="BK129" s="553">
        <f>BK124/(BK125-BK126)</f>
        <v>9</v>
      </c>
      <c r="BL129" s="553">
        <f>BL124/(BL125-BL126)</f>
        <v>6.5</v>
      </c>
      <c r="BM129" s="554">
        <f>BM124/(BM125-BM126)</f>
        <v>3</v>
      </c>
      <c r="BN129" s="605"/>
      <c r="BO129" s="604"/>
      <c r="BP129" s="604"/>
      <c r="BQ129" s="604"/>
      <c r="BR129" s="604"/>
      <c r="BS129" s="604"/>
      <c r="BT129" s="604"/>
      <c r="BU129" s="604"/>
      <c r="BV129" s="604"/>
      <c r="BW129" s="604"/>
      <c r="BX129" s="604"/>
      <c r="BY129" s="604"/>
      <c r="BZ129" s="604"/>
      <c r="CA129" s="605"/>
      <c r="CB129" s="539" t="s">
        <v>8</v>
      </c>
      <c r="CC129" s="558">
        <f>CC124/(CC125-CC126)</f>
        <v>4</v>
      </c>
      <c r="CD129" s="558">
        <f>CD124/(CD125-CD126)</f>
        <v>9.3333333333333339</v>
      </c>
      <c r="CE129" s="558">
        <f>CE124/(CE125-CE126)</f>
        <v>13</v>
      </c>
      <c r="CF129" s="558">
        <f>CF124/(CF125-CF126)</f>
        <v>5</v>
      </c>
      <c r="CG129" s="559">
        <f>CG124/(CG125-CG126)</f>
        <v>8.3333333333333339</v>
      </c>
      <c r="CH129" s="607"/>
      <c r="CI129" s="559">
        <f>CI124/(CI125-CI126)</f>
        <v>5.25</v>
      </c>
      <c r="CJ129" s="558">
        <f>CJ124/(CJ125-CJ126)</f>
        <v>9.5</v>
      </c>
      <c r="CK129" s="553">
        <f>CK124/(CK125-CK126)</f>
        <v>3.6666666666666665</v>
      </c>
      <c r="CL129" s="553">
        <f>CL124/(CL125-CL126)</f>
        <v>4</v>
      </c>
      <c r="CM129" s="554">
        <f>CM124/(CM125-CM126)</f>
        <v>4</v>
      </c>
      <c r="CN129" s="605"/>
    </row>
    <row r="130" spans="1:92" s="517" customFormat="1" ht="15">
      <c r="A130" s="617"/>
      <c r="B130" s="529"/>
      <c r="C130" s="518"/>
      <c r="D130" s="518"/>
      <c r="E130" s="518"/>
      <c r="F130" s="518"/>
      <c r="G130" s="606"/>
      <c r="H130" s="604"/>
      <c r="I130" s="604"/>
      <c r="J130" s="604"/>
      <c r="K130" s="604"/>
      <c r="L130" s="604"/>
      <c r="M130" s="604"/>
      <c r="N130" s="604"/>
      <c r="O130" s="529"/>
      <c r="P130" s="518"/>
      <c r="Q130" s="518"/>
      <c r="R130" s="518"/>
      <c r="S130" s="518"/>
      <c r="T130" s="606"/>
      <c r="U130" s="604"/>
      <c r="V130" s="604"/>
      <c r="W130" s="604"/>
      <c r="X130" s="604"/>
      <c r="Y130" s="604"/>
      <c r="Z130" s="604"/>
      <c r="AA130" s="604"/>
      <c r="AB130" s="529"/>
      <c r="AC130" s="518"/>
      <c r="AD130" s="518"/>
      <c r="AE130" s="518"/>
      <c r="AF130" s="518"/>
      <c r="AG130" s="606"/>
      <c r="AH130" s="604"/>
      <c r="AI130" s="604"/>
      <c r="AJ130" s="604"/>
      <c r="AK130" s="604"/>
      <c r="AL130" s="604"/>
      <c r="AM130" s="604"/>
      <c r="AN130" s="604"/>
      <c r="AO130" s="529"/>
      <c r="AP130" s="518"/>
      <c r="AQ130" s="518"/>
      <c r="AR130" s="518"/>
      <c r="AS130" s="518"/>
      <c r="AT130" s="606"/>
      <c r="AU130" s="604"/>
      <c r="AV130" s="604"/>
      <c r="AW130" s="604"/>
      <c r="AX130" s="604"/>
      <c r="AY130" s="604"/>
      <c r="AZ130" s="604"/>
      <c r="BA130" s="605"/>
      <c r="BB130" s="529"/>
      <c r="BC130" s="518"/>
      <c r="BD130" s="518"/>
      <c r="BE130" s="518"/>
      <c r="BF130" s="518"/>
      <c r="BG130" s="606"/>
      <c r="BH130" s="604"/>
      <c r="BI130" s="604"/>
      <c r="BJ130" s="604"/>
      <c r="BK130" s="604"/>
      <c r="BL130" s="604"/>
      <c r="BM130" s="604"/>
      <c r="BN130" s="605"/>
      <c r="BO130" s="604"/>
      <c r="BP130" s="604"/>
      <c r="BQ130" s="604"/>
      <c r="BR130" s="604"/>
      <c r="BS130" s="604"/>
      <c r="BT130" s="604"/>
      <c r="BU130" s="604"/>
      <c r="BV130" s="604"/>
      <c r="BW130" s="604"/>
      <c r="BX130" s="604"/>
      <c r="BY130" s="604"/>
      <c r="BZ130" s="604"/>
      <c r="CA130" s="605"/>
      <c r="CB130" s="604"/>
      <c r="CC130" s="604"/>
      <c r="CD130" s="604"/>
      <c r="CE130" s="604"/>
      <c r="CF130" s="604"/>
      <c r="CG130" s="604"/>
      <c r="CH130" s="604"/>
      <c r="CI130" s="604"/>
      <c r="CJ130" s="604"/>
      <c r="CK130" s="604"/>
      <c r="CL130" s="604"/>
      <c r="CM130" s="604"/>
      <c r="CN130" s="605"/>
    </row>
    <row r="131" spans="1:92" s="517" customFormat="1">
      <c r="A131" s="1537" t="s">
        <v>112</v>
      </c>
      <c r="B131" s="607"/>
      <c r="C131" s="1535" t="s">
        <v>112</v>
      </c>
      <c r="D131" s="1535"/>
      <c r="E131" s="1535"/>
      <c r="F131" s="1535"/>
      <c r="G131" s="607"/>
      <c r="H131" s="607"/>
      <c r="I131" s="607"/>
      <c r="J131" s="1536" t="s">
        <v>117</v>
      </c>
      <c r="K131" s="1536"/>
      <c r="L131" s="1536"/>
      <c r="M131" s="1536"/>
      <c r="N131" s="604"/>
      <c r="O131" s="607"/>
      <c r="P131" s="1535" t="s">
        <v>112</v>
      </c>
      <c r="Q131" s="1535"/>
      <c r="R131" s="1535"/>
      <c r="S131" s="1535"/>
      <c r="T131" s="607"/>
      <c r="U131" s="607"/>
      <c r="V131" s="607"/>
      <c r="W131" s="1536" t="s">
        <v>103</v>
      </c>
      <c r="X131" s="1536"/>
      <c r="Y131" s="1536"/>
      <c r="Z131" s="1536"/>
      <c r="AA131" s="604"/>
      <c r="AB131" s="607"/>
      <c r="AC131" s="1535" t="s">
        <v>112</v>
      </c>
      <c r="AD131" s="1535"/>
      <c r="AE131" s="1535"/>
      <c r="AF131" s="1535"/>
      <c r="AG131" s="607"/>
      <c r="AH131" s="607"/>
      <c r="AI131" s="607"/>
      <c r="AJ131" s="1536" t="s">
        <v>97</v>
      </c>
      <c r="AK131" s="1536"/>
      <c r="AL131" s="1536"/>
      <c r="AM131" s="1536"/>
      <c r="AN131" s="604"/>
      <c r="AO131" s="607"/>
      <c r="AP131" s="1535" t="s">
        <v>112</v>
      </c>
      <c r="AQ131" s="1535"/>
      <c r="AR131" s="1535"/>
      <c r="AS131" s="1535"/>
      <c r="AT131" s="607"/>
      <c r="AU131" s="607"/>
      <c r="AV131" s="607"/>
      <c r="AW131" s="1536" t="s">
        <v>130</v>
      </c>
      <c r="AX131" s="1536"/>
      <c r="AY131" s="1536"/>
      <c r="AZ131" s="1536"/>
      <c r="BA131" s="605"/>
      <c r="BB131" s="607"/>
      <c r="BC131" s="1536" t="s">
        <v>112</v>
      </c>
      <c r="BD131" s="1536"/>
      <c r="BE131" s="1536"/>
      <c r="BF131" s="1536"/>
      <c r="BG131" s="607"/>
      <c r="BH131" s="607"/>
      <c r="BI131" s="607"/>
      <c r="BJ131" s="1535" t="s">
        <v>143</v>
      </c>
      <c r="BK131" s="1535"/>
      <c r="BL131" s="1535"/>
      <c r="BM131" s="1535"/>
      <c r="BN131" s="605"/>
      <c r="BO131" s="607"/>
      <c r="BP131" s="1535" t="s">
        <v>112</v>
      </c>
      <c r="BQ131" s="1535"/>
      <c r="BR131" s="1535"/>
      <c r="BS131" s="1535"/>
      <c r="BT131" s="607"/>
      <c r="BU131" s="607"/>
      <c r="BV131" s="607"/>
      <c r="BW131" s="1536" t="s">
        <v>105</v>
      </c>
      <c r="BX131" s="1536"/>
      <c r="BY131" s="1536"/>
      <c r="BZ131" s="1536"/>
      <c r="CA131" s="605"/>
      <c r="CB131" s="604"/>
      <c r="CC131" s="604"/>
      <c r="CD131" s="604"/>
      <c r="CE131" s="604"/>
      <c r="CF131" s="604"/>
      <c r="CG131" s="604"/>
      <c r="CH131" s="604"/>
      <c r="CI131" s="604"/>
      <c r="CJ131" s="604"/>
      <c r="CK131" s="604"/>
      <c r="CL131" s="604"/>
      <c r="CM131" s="604"/>
      <c r="CN131" s="605"/>
    </row>
    <row r="132" spans="1:92" s="517" customFormat="1" ht="15">
      <c r="A132" s="1537"/>
      <c r="B132" s="522"/>
      <c r="C132" s="568">
        <v>1</v>
      </c>
      <c r="D132" s="569">
        <v>2</v>
      </c>
      <c r="E132" s="570">
        <v>3</v>
      </c>
      <c r="F132" s="603">
        <v>4</v>
      </c>
      <c r="G132" s="523">
        <f>IF(COUNTIF(G134:G147,"&gt;37")=0,0,COUNTIF(G134:G147,"&gt;37")-1)</f>
        <v>0</v>
      </c>
      <c r="H132" s="607"/>
      <c r="I132" s="523">
        <f>IF(COUNTIF(I134:I147,"&gt;37")=0,0,COUNTIF(I134:I147,"&gt;37")-1)</f>
        <v>3</v>
      </c>
      <c r="J132" s="560">
        <v>1</v>
      </c>
      <c r="K132" s="561">
        <v>2</v>
      </c>
      <c r="L132" s="562">
        <v>3</v>
      </c>
      <c r="M132" s="566">
        <v>4</v>
      </c>
      <c r="N132" s="604"/>
      <c r="O132" s="522"/>
      <c r="P132" s="568">
        <v>1</v>
      </c>
      <c r="Q132" s="569">
        <v>2</v>
      </c>
      <c r="R132" s="570">
        <v>3</v>
      </c>
      <c r="S132" s="603">
        <v>4</v>
      </c>
      <c r="T132" s="523">
        <f>IF(COUNTIF(T134:T147,"&gt;37")=0,0,COUNTIF(T134:T147,"&gt;37")-1)</f>
        <v>0</v>
      </c>
      <c r="U132" s="607"/>
      <c r="V132" s="523">
        <f>IF(COUNTIF(V134:V147,"&gt;37")=0,0,COUNTIF(V134:V147,"&gt;37")-1)</f>
        <v>4</v>
      </c>
      <c r="W132" s="560">
        <v>1</v>
      </c>
      <c r="X132" s="561">
        <v>2</v>
      </c>
      <c r="Y132" s="562">
        <v>3</v>
      </c>
      <c r="Z132" s="566">
        <v>4</v>
      </c>
      <c r="AA132" s="604"/>
      <c r="AB132" s="522"/>
      <c r="AC132" s="568">
        <v>1</v>
      </c>
      <c r="AD132" s="569">
        <v>2</v>
      </c>
      <c r="AE132" s="570">
        <v>3</v>
      </c>
      <c r="AF132" s="603">
        <v>4</v>
      </c>
      <c r="AG132" s="523">
        <f>IF(COUNTIF(AG134:AG147,"&gt;37")=0,0,COUNTIF(AG134:AG147,"&gt;37")-1)</f>
        <v>0</v>
      </c>
      <c r="AH132" s="607"/>
      <c r="AI132" s="523">
        <f>IF(COUNTIF(AI134:AI147,"&gt;37")=0,0,COUNTIF(AI134:AI147,"&gt;37")-1)</f>
        <v>1</v>
      </c>
      <c r="AJ132" s="560">
        <v>1</v>
      </c>
      <c r="AK132" s="561">
        <v>2</v>
      </c>
      <c r="AL132" s="562">
        <v>3</v>
      </c>
      <c r="AM132" s="566">
        <v>4</v>
      </c>
      <c r="AN132" s="604"/>
      <c r="AO132" s="522"/>
      <c r="AP132" s="568">
        <v>1</v>
      </c>
      <c r="AQ132" s="569">
        <v>2</v>
      </c>
      <c r="AR132" s="570">
        <v>3</v>
      </c>
      <c r="AS132" s="603">
        <v>4</v>
      </c>
      <c r="AT132" s="523">
        <f>IF(COUNTIF(AT134:AT147,"&gt;37")=0,0,COUNTIF(AT134:AT147,"&gt;37")-1)</f>
        <v>0</v>
      </c>
      <c r="AU132" s="607"/>
      <c r="AV132" s="523">
        <f>IF(COUNTIF(AV134:AV147,"&gt;37")=0,0,COUNTIF(AV134:AV147,"&gt;37")-1)</f>
        <v>4</v>
      </c>
      <c r="AW132" s="560">
        <v>1</v>
      </c>
      <c r="AX132" s="561">
        <v>2</v>
      </c>
      <c r="AY132" s="562">
        <v>3</v>
      </c>
      <c r="AZ132" s="566">
        <v>4</v>
      </c>
      <c r="BA132" s="618"/>
      <c r="BB132" s="522"/>
      <c r="BC132" s="560">
        <v>1</v>
      </c>
      <c r="BD132" s="561">
        <v>2</v>
      </c>
      <c r="BE132" s="562">
        <v>3</v>
      </c>
      <c r="BF132" s="566">
        <v>4</v>
      </c>
      <c r="BG132" s="523">
        <f>IF(COUNTIF(BG134:BG147,"&gt;37")=0,0,COUNTIF(BG134:BG147,"&gt;37")-1)</f>
        <v>1</v>
      </c>
      <c r="BH132" s="607"/>
      <c r="BI132" s="486">
        <v>0</v>
      </c>
      <c r="BJ132" s="568">
        <v>1</v>
      </c>
      <c r="BK132" s="569">
        <v>2</v>
      </c>
      <c r="BL132" s="570">
        <v>3</v>
      </c>
      <c r="BM132" s="603">
        <v>4</v>
      </c>
      <c r="BN132" s="618"/>
      <c r="BO132" s="522"/>
      <c r="BP132" s="568">
        <v>1</v>
      </c>
      <c r="BQ132" s="569">
        <v>2</v>
      </c>
      <c r="BR132" s="570">
        <v>3</v>
      </c>
      <c r="BS132" s="603">
        <v>4</v>
      </c>
      <c r="BT132" s="523">
        <f>IF(COUNTIF(BT134:BT147,"&gt;37")=0,0,COUNTIF(BT134:BT147,"&gt;37")-1)</f>
        <v>0</v>
      </c>
      <c r="BU132" s="607"/>
      <c r="BV132" s="523">
        <f>IF(COUNTIF(BV134:BV147,"&gt;37")=0,0,COUNTIF(BV134:BV147,"&gt;37")-1)</f>
        <v>0</v>
      </c>
      <c r="BW132" s="560">
        <v>1</v>
      </c>
      <c r="BX132" s="561">
        <v>2</v>
      </c>
      <c r="BY132" s="562">
        <v>3</v>
      </c>
      <c r="BZ132" s="566">
        <v>4</v>
      </c>
      <c r="CA132" s="618"/>
      <c r="CB132" s="529"/>
      <c r="CC132" s="520"/>
      <c r="CD132" s="518"/>
      <c r="CE132" s="518"/>
      <c r="CF132" s="518"/>
      <c r="CG132" s="612"/>
      <c r="CH132" s="604"/>
      <c r="CI132" s="520"/>
      <c r="CJ132" s="521"/>
      <c r="CK132" s="521"/>
      <c r="CL132" s="521"/>
      <c r="CM132" s="521"/>
      <c r="CN132" s="618"/>
    </row>
    <row r="133" spans="1:92" s="517" customFormat="1" ht="60.75" customHeight="1">
      <c r="A133" s="1537"/>
      <c r="B133" s="526"/>
      <c r="C133" s="592" t="s">
        <v>109</v>
      </c>
      <c r="D133" s="592" t="s">
        <v>110</v>
      </c>
      <c r="E133" s="592" t="s">
        <v>111</v>
      </c>
      <c r="F133" s="592" t="s">
        <v>150</v>
      </c>
      <c r="G133" s="528"/>
      <c r="H133" s="610"/>
      <c r="I133" s="611"/>
      <c r="J133" s="475" t="s">
        <v>118</v>
      </c>
      <c r="K133" s="475" t="s">
        <v>119</v>
      </c>
      <c r="L133" s="475" t="s">
        <v>120</v>
      </c>
      <c r="M133" s="475" t="s">
        <v>121</v>
      </c>
      <c r="N133" s="608"/>
      <c r="O133" s="526"/>
      <c r="P133" s="592" t="s">
        <v>150</v>
      </c>
      <c r="Q133" s="592" t="s">
        <v>109</v>
      </c>
      <c r="R133" s="592" t="s">
        <v>57</v>
      </c>
      <c r="S133" s="592" t="s">
        <v>111</v>
      </c>
      <c r="T133" s="528"/>
      <c r="U133" s="610"/>
      <c r="V133" s="611"/>
      <c r="W133" s="475" t="s">
        <v>1</v>
      </c>
      <c r="X133" s="475" t="s">
        <v>104</v>
      </c>
      <c r="Y133" s="475" t="s">
        <v>53</v>
      </c>
      <c r="Z133" s="475" t="s">
        <v>96</v>
      </c>
      <c r="AA133" s="608"/>
      <c r="AB133" s="526"/>
      <c r="AC133" s="592" t="s">
        <v>109</v>
      </c>
      <c r="AD133" s="592" t="s">
        <v>110</v>
      </c>
      <c r="AE133" s="592" t="s">
        <v>111</v>
      </c>
      <c r="AF133" s="592" t="s">
        <v>57</v>
      </c>
      <c r="AG133" s="528"/>
      <c r="AH133" s="610"/>
      <c r="AI133" s="611"/>
      <c r="AJ133" s="475" t="s">
        <v>53</v>
      </c>
      <c r="AK133" s="475" t="s">
        <v>0</v>
      </c>
      <c r="AL133" s="475" t="s">
        <v>56</v>
      </c>
      <c r="AM133" s="475" t="s">
        <v>1</v>
      </c>
      <c r="AN133" s="608"/>
      <c r="AO133" s="526"/>
      <c r="AP133" s="571" t="s">
        <v>150</v>
      </c>
      <c r="AQ133" s="571" t="s">
        <v>109</v>
      </c>
      <c r="AR133" s="571" t="s">
        <v>111</v>
      </c>
      <c r="AS133" s="571" t="s">
        <v>151</v>
      </c>
      <c r="AT133" s="528"/>
      <c r="AU133" s="610"/>
      <c r="AV133" s="611"/>
      <c r="AW133" s="527" t="s">
        <v>99</v>
      </c>
      <c r="AX133" s="527" t="s">
        <v>101</v>
      </c>
      <c r="AY133" s="527" t="s">
        <v>147</v>
      </c>
      <c r="AZ133" s="527" t="s">
        <v>113</v>
      </c>
      <c r="BA133" s="605"/>
      <c r="BB133" s="526"/>
      <c r="BC133" s="527" t="s">
        <v>150</v>
      </c>
      <c r="BD133" s="527" t="s">
        <v>111</v>
      </c>
      <c r="BE133" s="527" t="s">
        <v>151</v>
      </c>
      <c r="BF133" s="527" t="s">
        <v>57</v>
      </c>
      <c r="BG133" s="528"/>
      <c r="BH133" s="610"/>
      <c r="BI133" s="611"/>
      <c r="BJ133" s="571" t="s">
        <v>54</v>
      </c>
      <c r="BK133" s="571" t="s">
        <v>57</v>
      </c>
      <c r="BL133" s="571" t="s">
        <v>115</v>
      </c>
      <c r="BM133" s="571" t="s">
        <v>116</v>
      </c>
      <c r="BN133" s="605"/>
      <c r="BO133" s="526"/>
      <c r="BP133" s="571" t="s">
        <v>150</v>
      </c>
      <c r="BQ133" s="571" t="s">
        <v>110</v>
      </c>
      <c r="BR133" s="571" t="s">
        <v>111</v>
      </c>
      <c r="BS133" s="571" t="s">
        <v>151</v>
      </c>
      <c r="BT133" s="528"/>
      <c r="BU133" s="610"/>
      <c r="BV133" s="611"/>
      <c r="BW133" s="527" t="s">
        <v>106</v>
      </c>
      <c r="BX133" s="527" t="s">
        <v>107</v>
      </c>
      <c r="BY133" s="527" t="s">
        <v>152</v>
      </c>
      <c r="BZ133" s="527" t="s">
        <v>108</v>
      </c>
      <c r="CA133" s="605"/>
      <c r="CB133" s="529"/>
      <c r="CC133" s="518"/>
      <c r="CD133" s="520"/>
      <c r="CE133" s="520"/>
      <c r="CF133" s="518"/>
      <c r="CG133" s="612"/>
      <c r="CH133" s="608"/>
      <c r="CI133" s="608"/>
      <c r="CJ133" s="525"/>
      <c r="CK133" s="609"/>
      <c r="CL133" s="609"/>
      <c r="CM133" s="524"/>
      <c r="CN133" s="605"/>
    </row>
    <row r="134" spans="1:92" s="517" customFormat="1" ht="15">
      <c r="A134" s="1537"/>
      <c r="B134" s="530">
        <v>1</v>
      </c>
      <c r="C134" s="531">
        <v>11</v>
      </c>
      <c r="D134" s="532"/>
      <c r="E134" s="532"/>
      <c r="F134" s="600"/>
      <c r="G134" s="613">
        <f>SUM(C$134:F134)</f>
        <v>11</v>
      </c>
      <c r="H134" s="614">
        <f>G134-I134</f>
        <v>4</v>
      </c>
      <c r="I134" s="615">
        <f>SUM(J$134:M134)</f>
        <v>7</v>
      </c>
      <c r="J134" s="531">
        <v>7</v>
      </c>
      <c r="K134" s="532"/>
      <c r="L134" s="532"/>
      <c r="M134" s="600"/>
      <c r="N134" s="604"/>
      <c r="O134" s="530">
        <v>1</v>
      </c>
      <c r="P134" s="531">
        <v>7</v>
      </c>
      <c r="Q134" s="532"/>
      <c r="R134" s="532"/>
      <c r="S134" s="600"/>
      <c r="T134" s="613">
        <f>SUM(P$134:S134)</f>
        <v>7</v>
      </c>
      <c r="U134" s="614">
        <f>T134-V134</f>
        <v>0</v>
      </c>
      <c r="V134" s="615">
        <f>SUM(W$134:Z134)</f>
        <v>7</v>
      </c>
      <c r="W134" s="531">
        <v>7</v>
      </c>
      <c r="X134" s="532"/>
      <c r="Y134" s="532"/>
      <c r="Z134" s="600"/>
      <c r="AA134" s="604"/>
      <c r="AB134" s="530">
        <v>1</v>
      </c>
      <c r="AC134" s="531">
        <v>12</v>
      </c>
      <c r="AD134" s="532"/>
      <c r="AE134" s="532"/>
      <c r="AF134" s="563"/>
      <c r="AG134" s="613">
        <f>SUM(AC$134:AF134)</f>
        <v>12</v>
      </c>
      <c r="AH134" s="614">
        <f>AG134-AI134</f>
        <v>10</v>
      </c>
      <c r="AI134" s="615">
        <f>SUM(AJ$134:AM134)</f>
        <v>2</v>
      </c>
      <c r="AJ134" s="531">
        <v>2</v>
      </c>
      <c r="AK134" s="532"/>
      <c r="AL134" s="532"/>
      <c r="AM134" s="563"/>
      <c r="AN134" s="604"/>
      <c r="AO134" s="530">
        <v>1</v>
      </c>
      <c r="AP134" s="531">
        <v>9</v>
      </c>
      <c r="AQ134" s="532"/>
      <c r="AR134" s="532"/>
      <c r="AS134" s="600"/>
      <c r="AT134" s="613">
        <f>SUM(AP$134:AS134)</f>
        <v>9</v>
      </c>
      <c r="AU134" s="614">
        <f>AT134-AV134</f>
        <v>1</v>
      </c>
      <c r="AV134" s="615">
        <f>SUM(AW$134:AZ134)</f>
        <v>8</v>
      </c>
      <c r="AW134" s="531">
        <v>8</v>
      </c>
      <c r="AX134" s="532"/>
      <c r="AY134" s="532"/>
      <c r="AZ134" s="600"/>
      <c r="BA134" s="605"/>
      <c r="BB134" s="530">
        <v>1</v>
      </c>
      <c r="BC134" s="531">
        <v>8</v>
      </c>
      <c r="BD134" s="532"/>
      <c r="BE134" s="532"/>
      <c r="BF134" s="600"/>
      <c r="BG134" s="613">
        <f>SUM(BC$134:BF134)</f>
        <v>8</v>
      </c>
      <c r="BH134" s="614">
        <f>BG134-BI134</f>
        <v>2</v>
      </c>
      <c r="BI134" s="615">
        <f>SUM(BJ$134:BM134)</f>
        <v>6</v>
      </c>
      <c r="BJ134" s="531">
        <v>6</v>
      </c>
      <c r="BK134" s="532"/>
      <c r="BL134" s="532"/>
      <c r="BM134" s="600"/>
      <c r="BN134" s="605"/>
      <c r="BO134" s="530">
        <v>1</v>
      </c>
      <c r="BP134" s="531">
        <v>12</v>
      </c>
      <c r="BQ134" s="532"/>
      <c r="BR134" s="532"/>
      <c r="BS134" s="600"/>
      <c r="BT134" s="613">
        <f>SUM(BP$134:BS134)</f>
        <v>12</v>
      </c>
      <c r="BU134" s="614">
        <f>BT134-BV134</f>
        <v>10</v>
      </c>
      <c r="BV134" s="615">
        <f>SUM(BW$134:BZ134)</f>
        <v>2</v>
      </c>
      <c r="BW134" s="531">
        <v>2</v>
      </c>
      <c r="BX134" s="532"/>
      <c r="BY134" s="532"/>
      <c r="BZ134" s="600"/>
      <c r="CA134" s="605"/>
      <c r="CB134" s="529"/>
      <c r="CC134" s="520"/>
      <c r="CD134" s="518"/>
      <c r="CE134" s="518"/>
      <c r="CF134" s="518"/>
      <c r="CG134" s="612"/>
      <c r="CH134" s="604"/>
      <c r="CI134" s="612"/>
      <c r="CJ134" s="520"/>
      <c r="CK134" s="518"/>
      <c r="CL134" s="518"/>
      <c r="CM134" s="518"/>
      <c r="CN134" s="605"/>
    </row>
    <row r="135" spans="1:92" s="517" customFormat="1" ht="15">
      <c r="A135" s="1537"/>
      <c r="B135" s="533">
        <v>2</v>
      </c>
      <c r="C135" s="532"/>
      <c r="D135" s="531">
        <v>4</v>
      </c>
      <c r="E135" s="532"/>
      <c r="F135" s="532"/>
      <c r="G135" s="613">
        <f>SUM(C$134:F135)</f>
        <v>15</v>
      </c>
      <c r="H135" s="614">
        <f t="shared" ref="H135:H142" si="38">G135-I135</f>
        <v>-1</v>
      </c>
      <c r="I135" s="615">
        <f>SUM(J$134:M135)</f>
        <v>16</v>
      </c>
      <c r="J135" s="532"/>
      <c r="K135" s="531">
        <v>9</v>
      </c>
      <c r="L135" s="532"/>
      <c r="M135" s="532"/>
      <c r="N135" s="604"/>
      <c r="O135" s="533">
        <v>2</v>
      </c>
      <c r="P135" s="532"/>
      <c r="Q135" s="531" t="s">
        <v>2</v>
      </c>
      <c r="R135" s="532"/>
      <c r="S135" s="532"/>
      <c r="T135" s="613">
        <f>SUM(P$134:S135)</f>
        <v>7</v>
      </c>
      <c r="U135" s="614">
        <f t="shared" ref="U135:U142" si="39">T135-V135</f>
        <v>-6</v>
      </c>
      <c r="V135" s="615">
        <f>SUM(W$134:Z135)</f>
        <v>13</v>
      </c>
      <c r="W135" s="532"/>
      <c r="X135" s="531">
        <v>6</v>
      </c>
      <c r="Y135" s="532"/>
      <c r="Z135" s="532"/>
      <c r="AA135" s="604"/>
      <c r="AB135" s="533">
        <v>2</v>
      </c>
      <c r="AC135" s="532"/>
      <c r="AD135" s="531">
        <v>2</v>
      </c>
      <c r="AE135" s="532"/>
      <c r="AF135" s="532"/>
      <c r="AG135" s="613">
        <f>SUM(AC$134:AF135)</f>
        <v>14</v>
      </c>
      <c r="AH135" s="614">
        <f t="shared" ref="AH135:AH140" si="40">AG135-AI135</f>
        <v>1</v>
      </c>
      <c r="AI135" s="615">
        <f>SUM(AJ$134:AM135)</f>
        <v>13</v>
      </c>
      <c r="AJ135" s="532"/>
      <c r="AK135" s="531">
        <v>11</v>
      </c>
      <c r="AL135" s="532"/>
      <c r="AM135" s="532"/>
      <c r="AN135" s="604"/>
      <c r="AO135" s="533">
        <v>2</v>
      </c>
      <c r="AP135" s="532"/>
      <c r="AQ135" s="531" t="s">
        <v>2</v>
      </c>
      <c r="AR135" s="532"/>
      <c r="AS135" s="532"/>
      <c r="AT135" s="613">
        <f>SUM(AP$134:AS135)</f>
        <v>9</v>
      </c>
      <c r="AU135" s="614">
        <f t="shared" ref="AU135:AU146" si="41">AT135-AV135</f>
        <v>-1</v>
      </c>
      <c r="AV135" s="615">
        <f>SUM(AW$134:AZ135)</f>
        <v>10</v>
      </c>
      <c r="AW135" s="532"/>
      <c r="AX135" s="531">
        <v>2</v>
      </c>
      <c r="AY135" s="532"/>
      <c r="AZ135" s="532"/>
      <c r="BA135" s="605"/>
      <c r="BB135" s="533">
        <v>2</v>
      </c>
      <c r="BC135" s="532"/>
      <c r="BD135" s="531" t="s">
        <v>2</v>
      </c>
      <c r="BE135" s="532"/>
      <c r="BF135" s="532"/>
      <c r="BG135" s="613">
        <f>SUM(BC$134:BF135)</f>
        <v>8</v>
      </c>
      <c r="BH135" s="614">
        <f t="shared" ref="BH135:BH142" si="42">BG135-BI135</f>
        <v>0</v>
      </c>
      <c r="BI135" s="615">
        <f>SUM(BJ$134:BM135)</f>
        <v>8</v>
      </c>
      <c r="BJ135" s="532"/>
      <c r="BK135" s="531">
        <v>2</v>
      </c>
      <c r="BL135" s="532"/>
      <c r="BM135" s="532"/>
      <c r="BN135" s="605"/>
      <c r="BO135" s="533">
        <v>2</v>
      </c>
      <c r="BP135" s="532"/>
      <c r="BQ135" s="531" t="s">
        <v>2</v>
      </c>
      <c r="BR135" s="532"/>
      <c r="BS135" s="532"/>
      <c r="BT135" s="613">
        <f>SUM(BP$134:BS135)</f>
        <v>12</v>
      </c>
      <c r="BU135" s="614">
        <f t="shared" ref="BU135:BU146" si="43">BT135-BV135</f>
        <v>5</v>
      </c>
      <c r="BV135" s="615">
        <f>SUM(BW$134:BZ135)</f>
        <v>7</v>
      </c>
      <c r="BW135" s="532"/>
      <c r="BX135" s="531">
        <v>5</v>
      </c>
      <c r="BY135" s="532"/>
      <c r="BZ135" s="532"/>
      <c r="CA135" s="605"/>
      <c r="CB135" s="529"/>
      <c r="CC135" s="518"/>
      <c r="CD135" s="520"/>
      <c r="CE135" s="520"/>
      <c r="CF135" s="518"/>
      <c r="CG135" s="612"/>
      <c r="CH135" s="604"/>
      <c r="CI135" s="612"/>
      <c r="CJ135" s="518"/>
      <c r="CK135" s="520"/>
      <c r="CL135" s="520"/>
      <c r="CM135" s="518"/>
      <c r="CN135" s="605"/>
    </row>
    <row r="136" spans="1:92" s="517" customFormat="1" ht="15">
      <c r="A136" s="1537"/>
      <c r="B136" s="533">
        <v>3</v>
      </c>
      <c r="C136" s="531"/>
      <c r="D136" s="532"/>
      <c r="E136" s="532">
        <v>3</v>
      </c>
      <c r="F136" s="600"/>
      <c r="G136" s="613">
        <f>SUM(C$134:F136)</f>
        <v>18</v>
      </c>
      <c r="H136" s="614">
        <f t="shared" si="38"/>
        <v>-8</v>
      </c>
      <c r="I136" s="615">
        <f>SUM(J$134:M136)</f>
        <v>26</v>
      </c>
      <c r="J136" s="531"/>
      <c r="K136" s="532"/>
      <c r="L136" s="532">
        <v>10</v>
      </c>
      <c r="M136" s="600"/>
      <c r="N136" s="604"/>
      <c r="O136" s="533">
        <v>3</v>
      </c>
      <c r="P136" s="531"/>
      <c r="Q136" s="532"/>
      <c r="R136" s="532" t="s">
        <v>2</v>
      </c>
      <c r="S136" s="600"/>
      <c r="T136" s="613">
        <f>SUM(P$134:S136)</f>
        <v>7</v>
      </c>
      <c r="U136" s="614">
        <f t="shared" si="39"/>
        <v>-15</v>
      </c>
      <c r="V136" s="615">
        <f>SUM(W$134:Z136)</f>
        <v>22</v>
      </c>
      <c r="W136" s="531"/>
      <c r="X136" s="532"/>
      <c r="Y136" s="532">
        <v>9</v>
      </c>
      <c r="Z136" s="600"/>
      <c r="AA136" s="604"/>
      <c r="AB136" s="533">
        <v>3</v>
      </c>
      <c r="AC136" s="531"/>
      <c r="AD136" s="532"/>
      <c r="AE136" s="532">
        <v>11</v>
      </c>
      <c r="AF136" s="563"/>
      <c r="AG136" s="613">
        <f>SUM(AC$134:AF136)</f>
        <v>25</v>
      </c>
      <c r="AH136" s="614">
        <f t="shared" si="40"/>
        <v>1</v>
      </c>
      <c r="AI136" s="615">
        <f>SUM(AJ$134:AM136)</f>
        <v>24</v>
      </c>
      <c r="AJ136" s="531"/>
      <c r="AK136" s="532"/>
      <c r="AL136" s="532">
        <v>11</v>
      </c>
      <c r="AM136" s="563"/>
      <c r="AN136" s="604"/>
      <c r="AO136" s="533">
        <v>3</v>
      </c>
      <c r="AP136" s="531"/>
      <c r="AQ136" s="532"/>
      <c r="AR136" s="532">
        <v>3</v>
      </c>
      <c r="AS136" s="600"/>
      <c r="AT136" s="613">
        <f>SUM(AP$134:AS136)</f>
        <v>12</v>
      </c>
      <c r="AU136" s="614">
        <f t="shared" si="41"/>
        <v>-7</v>
      </c>
      <c r="AV136" s="615">
        <f>SUM(AW$134:AZ136)</f>
        <v>19</v>
      </c>
      <c r="AW136" s="531"/>
      <c r="AX136" s="532"/>
      <c r="AY136" s="532">
        <v>9</v>
      </c>
      <c r="AZ136" s="600"/>
      <c r="BA136" s="605"/>
      <c r="BB136" s="533">
        <v>3</v>
      </c>
      <c r="BC136" s="531"/>
      <c r="BD136" s="532"/>
      <c r="BE136" s="532">
        <v>3</v>
      </c>
      <c r="BF136" s="600"/>
      <c r="BG136" s="613">
        <f>SUM(BC$134:BF136)</f>
        <v>11</v>
      </c>
      <c r="BH136" s="614">
        <f t="shared" si="42"/>
        <v>0</v>
      </c>
      <c r="BI136" s="615">
        <f>SUM(BJ$134:BM136)</f>
        <v>11</v>
      </c>
      <c r="BJ136" s="531"/>
      <c r="BK136" s="532"/>
      <c r="BL136" s="532">
        <v>3</v>
      </c>
      <c r="BM136" s="600"/>
      <c r="BN136" s="605"/>
      <c r="BO136" s="533">
        <v>3</v>
      </c>
      <c r="BP136" s="531"/>
      <c r="BQ136" s="532"/>
      <c r="BR136" s="532" t="s">
        <v>2</v>
      </c>
      <c r="BS136" s="600"/>
      <c r="BT136" s="613">
        <f>SUM(BP$134:BS136)</f>
        <v>12</v>
      </c>
      <c r="BU136" s="614">
        <f t="shared" si="43"/>
        <v>3</v>
      </c>
      <c r="BV136" s="615">
        <f>SUM(BW$134:BZ136)</f>
        <v>9</v>
      </c>
      <c r="BW136" s="531"/>
      <c r="BX136" s="532"/>
      <c r="BY136" s="532">
        <v>2</v>
      </c>
      <c r="BZ136" s="600"/>
      <c r="CA136" s="605"/>
      <c r="CB136" s="529"/>
      <c r="CC136" s="520"/>
      <c r="CD136" s="518"/>
      <c r="CE136" s="518"/>
      <c r="CF136" s="518"/>
      <c r="CG136" s="612"/>
      <c r="CH136" s="604"/>
      <c r="CI136" s="612"/>
      <c r="CJ136" s="520"/>
      <c r="CK136" s="518"/>
      <c r="CL136" s="518"/>
      <c r="CM136" s="518"/>
      <c r="CN136" s="605"/>
    </row>
    <row r="137" spans="1:92" s="517" customFormat="1" ht="15">
      <c r="A137" s="1537"/>
      <c r="B137" s="530">
        <v>4</v>
      </c>
      <c r="C137" s="532"/>
      <c r="D137" s="531"/>
      <c r="E137" s="532"/>
      <c r="F137" s="532">
        <v>9</v>
      </c>
      <c r="G137" s="613">
        <f>SUM(C$134:F137)</f>
        <v>27</v>
      </c>
      <c r="H137" s="614">
        <f t="shared" si="38"/>
        <v>1</v>
      </c>
      <c r="I137" s="615">
        <f>SUM(J$134:M137)</f>
        <v>26</v>
      </c>
      <c r="J137" s="532"/>
      <c r="K137" s="531"/>
      <c r="L137" s="532"/>
      <c r="M137" s="532" t="s">
        <v>2</v>
      </c>
      <c r="N137" s="604"/>
      <c r="O137" s="530">
        <v>4</v>
      </c>
      <c r="P137" s="532"/>
      <c r="Q137" s="531"/>
      <c r="R137" s="532"/>
      <c r="S137" s="653">
        <v>3</v>
      </c>
      <c r="T137" s="613">
        <f>SUM(P$134:S137)</f>
        <v>10</v>
      </c>
      <c r="U137" s="614">
        <f t="shared" si="39"/>
        <v>-22</v>
      </c>
      <c r="V137" s="615">
        <f>SUM(W$134:Z137)</f>
        <v>32</v>
      </c>
      <c r="W137" s="532"/>
      <c r="X137" s="531"/>
      <c r="Y137" s="532"/>
      <c r="Z137" s="532">
        <v>10</v>
      </c>
      <c r="AA137" s="604"/>
      <c r="AB137" s="530">
        <v>4</v>
      </c>
      <c r="AC137" s="532"/>
      <c r="AD137" s="531"/>
      <c r="AE137" s="532"/>
      <c r="AF137" s="532" t="s">
        <v>2</v>
      </c>
      <c r="AG137" s="613">
        <f>SUM(AC$134:AF137)</f>
        <v>25</v>
      </c>
      <c r="AH137" s="614">
        <f t="shared" si="40"/>
        <v>-10</v>
      </c>
      <c r="AI137" s="615">
        <f>SUM(AJ$134:AM137)</f>
        <v>35</v>
      </c>
      <c r="AJ137" s="532"/>
      <c r="AK137" s="531"/>
      <c r="AL137" s="532"/>
      <c r="AM137" s="532">
        <v>11</v>
      </c>
      <c r="AN137" s="604"/>
      <c r="AO137" s="530">
        <v>4</v>
      </c>
      <c r="AP137" s="532"/>
      <c r="AQ137" s="531"/>
      <c r="AR137" s="532"/>
      <c r="AS137" s="532">
        <v>11</v>
      </c>
      <c r="AT137" s="613">
        <f>SUM(AP$134:AS137)</f>
        <v>23</v>
      </c>
      <c r="AU137" s="614">
        <f t="shared" si="41"/>
        <v>1</v>
      </c>
      <c r="AV137" s="615">
        <f>SUM(AW$134:AZ137)</f>
        <v>22</v>
      </c>
      <c r="AW137" s="532"/>
      <c r="AX137" s="531"/>
      <c r="AY137" s="532"/>
      <c r="AZ137" s="532">
        <v>3</v>
      </c>
      <c r="BA137" s="605"/>
      <c r="BB137" s="530">
        <v>4</v>
      </c>
      <c r="BC137" s="532"/>
      <c r="BD137" s="531"/>
      <c r="BE137" s="532"/>
      <c r="BF137" s="532" t="s">
        <v>2</v>
      </c>
      <c r="BG137" s="613">
        <f>SUM(BC$134:BF137)</f>
        <v>11</v>
      </c>
      <c r="BH137" s="614">
        <f t="shared" si="42"/>
        <v>-7</v>
      </c>
      <c r="BI137" s="615">
        <f>SUM(BJ$134:BM137)</f>
        <v>18</v>
      </c>
      <c r="BJ137" s="532"/>
      <c r="BK137" s="531"/>
      <c r="BL137" s="532"/>
      <c r="BM137" s="532">
        <v>7</v>
      </c>
      <c r="BN137" s="605"/>
      <c r="BO137" s="530">
        <v>4</v>
      </c>
      <c r="BP137" s="532"/>
      <c r="BQ137" s="531"/>
      <c r="BR137" s="532"/>
      <c r="BS137" s="532">
        <v>2</v>
      </c>
      <c r="BT137" s="613">
        <f>SUM(BP$134:BS137)</f>
        <v>14</v>
      </c>
      <c r="BU137" s="614">
        <f t="shared" si="43"/>
        <v>3</v>
      </c>
      <c r="BV137" s="615">
        <f>SUM(BW$134:BZ137)</f>
        <v>11</v>
      </c>
      <c r="BW137" s="532"/>
      <c r="BX137" s="531"/>
      <c r="BY137" s="532"/>
      <c r="BZ137" s="532">
        <v>2</v>
      </c>
      <c r="CA137" s="605"/>
      <c r="CB137" s="529"/>
      <c r="CC137" s="518"/>
      <c r="CD137" s="520"/>
      <c r="CE137" s="520"/>
      <c r="CF137" s="518"/>
      <c r="CG137" s="612"/>
      <c r="CH137" s="604"/>
      <c r="CI137" s="612"/>
      <c r="CJ137" s="518"/>
      <c r="CK137" s="520"/>
      <c r="CL137" s="520"/>
      <c r="CM137" s="518"/>
      <c r="CN137" s="605"/>
    </row>
    <row r="138" spans="1:92" s="517" customFormat="1" ht="15">
      <c r="A138" s="1537"/>
      <c r="B138" s="533">
        <v>5</v>
      </c>
      <c r="C138" s="531">
        <v>2</v>
      </c>
      <c r="D138" s="532"/>
      <c r="E138" s="532"/>
      <c r="F138" s="600"/>
      <c r="G138" s="613">
        <f>SUM(C$134:F138)</f>
        <v>29</v>
      </c>
      <c r="H138" s="614">
        <f t="shared" si="38"/>
        <v>-7</v>
      </c>
      <c r="I138" s="615">
        <f>SUM(J$134:M138)</f>
        <v>36</v>
      </c>
      <c r="J138" s="531">
        <v>10</v>
      </c>
      <c r="K138" s="532"/>
      <c r="L138" s="532"/>
      <c r="M138" s="600"/>
      <c r="N138" s="604"/>
      <c r="O138" s="533">
        <v>5</v>
      </c>
      <c r="P138" s="531">
        <v>2</v>
      </c>
      <c r="Q138" s="532"/>
      <c r="R138" s="532"/>
      <c r="S138" s="600"/>
      <c r="T138" s="613">
        <f>SUM(P$134:S138)</f>
        <v>12</v>
      </c>
      <c r="U138" s="614">
        <f t="shared" si="39"/>
        <v>-28</v>
      </c>
      <c r="V138" s="615">
        <f>SUM(W$134:Z138)</f>
        <v>40</v>
      </c>
      <c r="W138" s="531">
        <v>8</v>
      </c>
      <c r="X138" s="532"/>
      <c r="Y138" s="532"/>
      <c r="Z138" s="600"/>
      <c r="AA138" s="604"/>
      <c r="AB138" s="533">
        <v>5</v>
      </c>
      <c r="AC138" s="531" t="s">
        <v>2</v>
      </c>
      <c r="AD138" s="532"/>
      <c r="AE138" s="532"/>
      <c r="AF138" s="563"/>
      <c r="AG138" s="613">
        <f>SUM(AC$134:AF138)</f>
        <v>25</v>
      </c>
      <c r="AH138" s="614">
        <f t="shared" si="40"/>
        <v>-10</v>
      </c>
      <c r="AI138" s="615">
        <f>SUM(AJ$134:AM138)</f>
        <v>35</v>
      </c>
      <c r="AJ138" s="531" t="s">
        <v>2</v>
      </c>
      <c r="AK138" s="532"/>
      <c r="AL138" s="532"/>
      <c r="AM138" s="563"/>
      <c r="AN138" s="604"/>
      <c r="AO138" s="533">
        <v>5</v>
      </c>
      <c r="AP138" s="531" t="s">
        <v>2</v>
      </c>
      <c r="AQ138" s="532"/>
      <c r="AR138" s="532"/>
      <c r="AS138" s="600"/>
      <c r="AT138" s="613">
        <f>SUM(AP$134:AS138)</f>
        <v>23</v>
      </c>
      <c r="AU138" s="614">
        <f t="shared" si="41"/>
        <v>-7</v>
      </c>
      <c r="AV138" s="615">
        <f>SUM(AW$134:AZ138)</f>
        <v>30</v>
      </c>
      <c r="AW138" s="531">
        <v>8</v>
      </c>
      <c r="AX138" s="532"/>
      <c r="AY138" s="532"/>
      <c r="AZ138" s="600"/>
      <c r="BA138" s="605"/>
      <c r="BB138" s="533">
        <v>5</v>
      </c>
      <c r="BC138" s="531">
        <v>8</v>
      </c>
      <c r="BD138" s="532"/>
      <c r="BE138" s="532"/>
      <c r="BF138" s="600"/>
      <c r="BG138" s="613">
        <f>SUM(BC$134:BF138)</f>
        <v>19</v>
      </c>
      <c r="BH138" s="614">
        <f t="shared" si="42"/>
        <v>-1</v>
      </c>
      <c r="BI138" s="615">
        <f>SUM(BJ$134:BM138)</f>
        <v>20</v>
      </c>
      <c r="BJ138" s="531">
        <v>2</v>
      </c>
      <c r="BK138" s="532"/>
      <c r="BL138" s="532"/>
      <c r="BM138" s="600"/>
      <c r="BN138" s="605"/>
      <c r="BO138" s="533">
        <v>5</v>
      </c>
      <c r="BP138" s="531">
        <v>2</v>
      </c>
      <c r="BQ138" s="532"/>
      <c r="BR138" s="532"/>
      <c r="BS138" s="600"/>
      <c r="BT138" s="613">
        <f>SUM(BP$134:BS138)</f>
        <v>16</v>
      </c>
      <c r="BU138" s="614">
        <f t="shared" si="43"/>
        <v>5</v>
      </c>
      <c r="BV138" s="615">
        <f>SUM(BW$134:BZ138)</f>
        <v>11</v>
      </c>
      <c r="BW138" s="531" t="s">
        <v>2</v>
      </c>
      <c r="BX138" s="532"/>
      <c r="BY138" s="532"/>
      <c r="BZ138" s="600"/>
      <c r="CA138" s="605"/>
      <c r="CB138" s="529"/>
      <c r="CC138" s="520"/>
      <c r="CD138" s="518"/>
      <c r="CE138" s="518"/>
      <c r="CF138" s="518"/>
      <c r="CG138" s="612"/>
      <c r="CH138" s="604"/>
      <c r="CI138" s="612"/>
      <c r="CJ138" s="520"/>
      <c r="CK138" s="518"/>
      <c r="CL138" s="518"/>
      <c r="CM138" s="518"/>
      <c r="CN138" s="605"/>
    </row>
    <row r="139" spans="1:92" s="517" customFormat="1" ht="15">
      <c r="A139" s="1537"/>
      <c r="B139" s="530">
        <v>6</v>
      </c>
      <c r="C139" s="531"/>
      <c r="D139" s="532">
        <v>2</v>
      </c>
      <c r="E139" s="532"/>
      <c r="F139" s="600"/>
      <c r="G139" s="613">
        <f>SUM(C$134:F139)</f>
        <v>31</v>
      </c>
      <c r="H139" s="614">
        <f>G139-I139</f>
        <v>-14</v>
      </c>
      <c r="I139" s="615">
        <f>SUM(J$134:M139)</f>
        <v>45</v>
      </c>
      <c r="J139" s="531"/>
      <c r="K139" s="532">
        <v>9</v>
      </c>
      <c r="L139" s="532"/>
      <c r="M139" s="600"/>
      <c r="N139" s="604"/>
      <c r="O139" s="530">
        <v>6</v>
      </c>
      <c r="P139" s="531"/>
      <c r="Q139" s="532">
        <v>10</v>
      </c>
      <c r="R139" s="532"/>
      <c r="S139" s="600"/>
      <c r="T139" s="613">
        <f>SUM(P$134:S139)</f>
        <v>22</v>
      </c>
      <c r="U139" s="614">
        <f>T139-V139</f>
        <v>-18</v>
      </c>
      <c r="V139" s="615">
        <f>SUM(W$134:Z139)</f>
        <v>40</v>
      </c>
      <c r="W139" s="531"/>
      <c r="X139" s="532" t="s">
        <v>2</v>
      </c>
      <c r="Y139" s="532"/>
      <c r="Z139" s="600"/>
      <c r="AA139" s="604"/>
      <c r="AB139" s="530">
        <v>6</v>
      </c>
      <c r="AC139" s="531"/>
      <c r="AD139" s="653">
        <v>2</v>
      </c>
      <c r="AE139" s="532"/>
      <c r="AF139" s="563"/>
      <c r="AG139" s="613">
        <f>SUM(AC$134:AF139)</f>
        <v>27</v>
      </c>
      <c r="AH139" s="614">
        <f>AG139-AI139</f>
        <v>-13</v>
      </c>
      <c r="AI139" s="615">
        <f>SUM(AJ$134:AM139)</f>
        <v>40</v>
      </c>
      <c r="AJ139" s="531"/>
      <c r="AK139" s="532">
        <v>5</v>
      </c>
      <c r="AL139" s="532"/>
      <c r="AM139" s="563"/>
      <c r="AN139" s="604"/>
      <c r="AO139" s="530">
        <v>6</v>
      </c>
      <c r="AP139" s="531"/>
      <c r="AQ139" s="532" t="s">
        <v>2</v>
      </c>
      <c r="AR139" s="532"/>
      <c r="AS139" s="600"/>
      <c r="AT139" s="613">
        <f>SUM(AP$134:AS139)</f>
        <v>23</v>
      </c>
      <c r="AU139" s="614">
        <f>AT139-AV139</f>
        <v>-7</v>
      </c>
      <c r="AV139" s="615">
        <f>SUM(AW$134:AZ139)</f>
        <v>30</v>
      </c>
      <c r="AW139" s="531"/>
      <c r="AX139" s="532" t="s">
        <v>2</v>
      </c>
      <c r="AY139" s="532"/>
      <c r="AZ139" s="600"/>
      <c r="BA139" s="605"/>
      <c r="BB139" s="530">
        <v>6</v>
      </c>
      <c r="BC139" s="531"/>
      <c r="BD139" s="532">
        <v>2</v>
      </c>
      <c r="BE139" s="532"/>
      <c r="BF139" s="600"/>
      <c r="BG139" s="613">
        <f>SUM(BC$134:BF139)</f>
        <v>21</v>
      </c>
      <c r="BH139" s="614">
        <f>BG139-BI139</f>
        <v>-11</v>
      </c>
      <c r="BI139" s="615">
        <f>SUM(BJ$134:BM139)</f>
        <v>32</v>
      </c>
      <c r="BJ139" s="531"/>
      <c r="BK139" s="532">
        <v>12</v>
      </c>
      <c r="BL139" s="532"/>
      <c r="BM139" s="600"/>
      <c r="BN139" s="605"/>
      <c r="BO139" s="530">
        <v>6</v>
      </c>
      <c r="BP139" s="531"/>
      <c r="BQ139" s="532" t="s">
        <v>2</v>
      </c>
      <c r="BR139" s="532"/>
      <c r="BS139" s="600"/>
      <c r="BT139" s="613">
        <f>SUM(BP$134:BS139)</f>
        <v>16</v>
      </c>
      <c r="BU139" s="614">
        <f>BT139-BV139</f>
        <v>-2</v>
      </c>
      <c r="BV139" s="615">
        <f>SUM(BW$134:BZ139)</f>
        <v>18</v>
      </c>
      <c r="BW139" s="531"/>
      <c r="BX139" s="532">
        <v>7</v>
      </c>
      <c r="BY139" s="532"/>
      <c r="BZ139" s="600"/>
      <c r="CA139" s="605"/>
      <c r="CB139" s="529"/>
      <c r="CC139" s="518"/>
      <c r="CD139" s="520"/>
      <c r="CE139" s="520"/>
      <c r="CF139" s="518"/>
      <c r="CG139" s="612"/>
      <c r="CH139" s="604"/>
      <c r="CI139" s="612"/>
      <c r="CJ139" s="518"/>
      <c r="CK139" s="520"/>
      <c r="CL139" s="520"/>
      <c r="CM139" s="518"/>
      <c r="CN139" s="605"/>
    </row>
    <row r="140" spans="1:92" s="517" customFormat="1" ht="15">
      <c r="A140" s="1537"/>
      <c r="B140" s="533">
        <v>7</v>
      </c>
      <c r="C140" s="532"/>
      <c r="D140" s="531"/>
      <c r="E140" s="532" t="s">
        <v>2</v>
      </c>
      <c r="F140" s="532"/>
      <c r="G140" s="613">
        <f>SUM(C$134:F140)</f>
        <v>31</v>
      </c>
      <c r="H140" s="614">
        <f t="shared" si="38"/>
        <v>-14</v>
      </c>
      <c r="I140" s="615">
        <f>SUM(J$134:M140)</f>
        <v>45</v>
      </c>
      <c r="J140" s="532"/>
      <c r="K140" s="531"/>
      <c r="L140" s="532" t="s">
        <v>2</v>
      </c>
      <c r="M140" s="532"/>
      <c r="N140" s="604"/>
      <c r="O140" s="533">
        <v>7</v>
      </c>
      <c r="P140" s="532"/>
      <c r="Q140" s="531"/>
      <c r="R140" s="532">
        <v>10</v>
      </c>
      <c r="S140" s="532"/>
      <c r="T140" s="613">
        <f>SUM(P$134:S140)</f>
        <v>32</v>
      </c>
      <c r="U140" s="614">
        <f t="shared" si="39"/>
        <v>-8</v>
      </c>
      <c r="V140" s="615">
        <f>SUM(W$134:Z140)</f>
        <v>40</v>
      </c>
      <c r="W140" s="532"/>
      <c r="X140" s="531"/>
      <c r="Y140" s="532" t="s">
        <v>2</v>
      </c>
      <c r="Z140" s="532"/>
      <c r="AA140" s="604"/>
      <c r="AB140" s="533">
        <v>7</v>
      </c>
      <c r="AC140" s="532"/>
      <c r="AD140" s="531"/>
      <c r="AE140" s="532" t="s">
        <v>2</v>
      </c>
      <c r="AF140" s="532"/>
      <c r="AG140" s="613">
        <f>SUM(AC$134:AF140)</f>
        <v>27</v>
      </c>
      <c r="AH140" s="614">
        <f t="shared" si="40"/>
        <v>-23</v>
      </c>
      <c r="AI140" s="615">
        <f>SUM(AJ$134:AM140)</f>
        <v>50</v>
      </c>
      <c r="AJ140" s="532"/>
      <c r="AK140" s="531"/>
      <c r="AL140" s="565">
        <v>10</v>
      </c>
      <c r="AM140" s="532"/>
      <c r="AN140" s="604"/>
      <c r="AO140" s="533">
        <v>7</v>
      </c>
      <c r="AP140" s="532"/>
      <c r="AQ140" s="531"/>
      <c r="AR140" s="653">
        <v>2</v>
      </c>
      <c r="AS140" s="532"/>
      <c r="AT140" s="613">
        <f>SUM(AP$134:AS140)</f>
        <v>25</v>
      </c>
      <c r="AU140" s="614">
        <f t="shared" si="41"/>
        <v>-5</v>
      </c>
      <c r="AV140" s="615">
        <f>SUM(AW$134:AZ140)</f>
        <v>30</v>
      </c>
      <c r="AW140" s="532"/>
      <c r="AX140" s="531"/>
      <c r="AY140" s="532" t="s">
        <v>2</v>
      </c>
      <c r="AZ140" s="532"/>
      <c r="BA140" s="605"/>
      <c r="BB140" s="533">
        <v>7</v>
      </c>
      <c r="BC140" s="532"/>
      <c r="BD140" s="531"/>
      <c r="BE140" s="532">
        <v>12</v>
      </c>
      <c r="BF140" s="532"/>
      <c r="BG140" s="613">
        <f>SUM(BC$134:BF140)</f>
        <v>33</v>
      </c>
      <c r="BH140" s="614">
        <f t="shared" si="42"/>
        <v>1</v>
      </c>
      <c r="BI140" s="615">
        <f>SUM(BJ$134:BM140)</f>
        <v>32</v>
      </c>
      <c r="BJ140" s="532"/>
      <c r="BK140" s="531"/>
      <c r="BL140" s="532" t="s">
        <v>2</v>
      </c>
      <c r="BM140" s="532"/>
      <c r="BN140" s="605"/>
      <c r="BO140" s="533">
        <v>7</v>
      </c>
      <c r="BP140" s="532"/>
      <c r="BQ140" s="531"/>
      <c r="BR140" s="532" t="s">
        <v>2</v>
      </c>
      <c r="BS140" s="532"/>
      <c r="BT140" s="613">
        <f>SUM(BP$134:BS140)</f>
        <v>16</v>
      </c>
      <c r="BU140" s="614">
        <f t="shared" si="43"/>
        <v>-6</v>
      </c>
      <c r="BV140" s="615">
        <f>SUM(BW$134:BZ140)</f>
        <v>22</v>
      </c>
      <c r="BW140" s="532"/>
      <c r="BX140" s="531"/>
      <c r="BY140" s="532">
        <v>4</v>
      </c>
      <c r="BZ140" s="532"/>
      <c r="CA140" s="605"/>
      <c r="CB140" s="529"/>
      <c r="CC140" s="520"/>
      <c r="CD140" s="518"/>
      <c r="CE140" s="518"/>
      <c r="CF140" s="518"/>
      <c r="CG140" s="612"/>
      <c r="CH140" s="604"/>
      <c r="CI140" s="612"/>
      <c r="CJ140" s="520"/>
      <c r="CK140" s="518"/>
      <c r="CL140" s="518"/>
      <c r="CM140" s="518"/>
      <c r="CN140" s="605"/>
    </row>
    <row r="141" spans="1:92" s="517" customFormat="1" ht="15">
      <c r="A141" s="1537"/>
      <c r="B141" s="533">
        <v>8</v>
      </c>
      <c r="C141" s="531"/>
      <c r="D141" s="532"/>
      <c r="E141" s="532"/>
      <c r="F141" s="600">
        <v>5</v>
      </c>
      <c r="G141" s="613">
        <f>SUM(C$134:F141)</f>
        <v>36</v>
      </c>
      <c r="H141" s="614">
        <f t="shared" si="38"/>
        <v>-11</v>
      </c>
      <c r="I141" s="615">
        <f>SUM(J$134:M141)</f>
        <v>47</v>
      </c>
      <c r="J141" s="531"/>
      <c r="K141" s="532"/>
      <c r="L141" s="532"/>
      <c r="M141" s="600">
        <v>2</v>
      </c>
      <c r="N141" s="604"/>
      <c r="O141" s="533">
        <v>8</v>
      </c>
      <c r="P141" s="531"/>
      <c r="Q141" s="532"/>
      <c r="R141" s="532"/>
      <c r="S141" s="600">
        <v>2</v>
      </c>
      <c r="T141" s="613">
        <f>SUM(P$134:S141)</f>
        <v>34</v>
      </c>
      <c r="U141" s="614">
        <f t="shared" si="39"/>
        <v>-9</v>
      </c>
      <c r="V141" s="615">
        <f>SUM(W$134:Z141)</f>
        <v>43</v>
      </c>
      <c r="W141" s="531"/>
      <c r="X141" s="532"/>
      <c r="Y141" s="532"/>
      <c r="Z141" s="653">
        <v>3</v>
      </c>
      <c r="AA141" s="604"/>
      <c r="AB141" s="522"/>
      <c r="AC141" s="534"/>
      <c r="AD141" s="616"/>
      <c r="AE141" s="616"/>
      <c r="AF141" s="534"/>
      <c r="AG141" s="616"/>
      <c r="AH141" s="607"/>
      <c r="AI141" s="607"/>
      <c r="AJ141" s="534"/>
      <c r="AK141" s="616"/>
      <c r="AL141" s="616"/>
      <c r="AM141" s="534"/>
      <c r="AN141" s="604"/>
      <c r="AO141" s="533">
        <v>8</v>
      </c>
      <c r="AP141" s="531"/>
      <c r="AQ141" s="532"/>
      <c r="AR141" s="532"/>
      <c r="AS141" s="600">
        <v>12</v>
      </c>
      <c r="AT141" s="613">
        <f>SUM(AP$134:AS141)</f>
        <v>37</v>
      </c>
      <c r="AU141" s="614">
        <f t="shared" si="41"/>
        <v>3</v>
      </c>
      <c r="AV141" s="615">
        <f>SUM(AW$134:AZ141)</f>
        <v>34</v>
      </c>
      <c r="AW141" s="531"/>
      <c r="AX141" s="532"/>
      <c r="AY141" s="532"/>
      <c r="AZ141" s="600">
        <v>4</v>
      </c>
      <c r="BA141" s="605"/>
      <c r="BB141" s="533">
        <v>8</v>
      </c>
      <c r="BC141" s="531"/>
      <c r="BD141" s="532"/>
      <c r="BE141" s="532"/>
      <c r="BF141" s="600">
        <v>10</v>
      </c>
      <c r="BG141" s="613">
        <f>SUM(BC$134:BF141)</f>
        <v>43</v>
      </c>
      <c r="BH141" s="614">
        <f t="shared" si="42"/>
        <v>1</v>
      </c>
      <c r="BI141" s="615">
        <f>SUM(BJ$134:BM141)</f>
        <v>42</v>
      </c>
      <c r="BJ141" s="531"/>
      <c r="BK141" s="532"/>
      <c r="BL141" s="532"/>
      <c r="BM141" s="600">
        <v>10</v>
      </c>
      <c r="BN141" s="605"/>
      <c r="BO141" s="533">
        <v>8</v>
      </c>
      <c r="BP141" s="531"/>
      <c r="BQ141" s="532"/>
      <c r="BR141" s="532"/>
      <c r="BS141" s="600">
        <v>3</v>
      </c>
      <c r="BT141" s="613">
        <f>SUM(BP$134:BS141)</f>
        <v>19</v>
      </c>
      <c r="BU141" s="614">
        <f t="shared" si="43"/>
        <v>-5</v>
      </c>
      <c r="BV141" s="615">
        <f>SUM(BW$134:BZ141)</f>
        <v>24</v>
      </c>
      <c r="BW141" s="531"/>
      <c r="BX141" s="532"/>
      <c r="BY141" s="532"/>
      <c r="BZ141" s="600">
        <v>2</v>
      </c>
      <c r="CA141" s="605"/>
      <c r="CB141" s="529"/>
      <c r="CC141" s="518"/>
      <c r="CD141" s="520"/>
      <c r="CE141" s="520"/>
      <c r="CF141" s="518"/>
      <c r="CG141" s="612"/>
      <c r="CH141" s="604"/>
      <c r="CI141" s="612"/>
      <c r="CJ141" s="518"/>
      <c r="CK141" s="520"/>
      <c r="CL141" s="520"/>
      <c r="CM141" s="518"/>
      <c r="CN141" s="605"/>
    </row>
    <row r="142" spans="1:92" s="517" customFormat="1" ht="15">
      <c r="A142" s="1537"/>
      <c r="B142" s="530">
        <v>9</v>
      </c>
      <c r="C142" s="532" t="s">
        <v>2</v>
      </c>
      <c r="D142" s="531"/>
      <c r="E142" s="532"/>
      <c r="F142" s="532"/>
      <c r="G142" s="613">
        <f>SUM(C$134:F142)</f>
        <v>36</v>
      </c>
      <c r="H142" s="614">
        <f t="shared" si="38"/>
        <v>-14</v>
      </c>
      <c r="I142" s="615">
        <f>SUM(J$134:M142)</f>
        <v>50</v>
      </c>
      <c r="J142" s="565">
        <v>3</v>
      </c>
      <c r="K142" s="531"/>
      <c r="L142" s="532"/>
      <c r="M142" s="532"/>
      <c r="N142" s="604"/>
      <c r="O142" s="530">
        <v>9</v>
      </c>
      <c r="P142" s="532" t="s">
        <v>2</v>
      </c>
      <c r="Q142" s="531"/>
      <c r="R142" s="532"/>
      <c r="S142" s="532"/>
      <c r="T142" s="613">
        <f>SUM(P$134:S142)</f>
        <v>34</v>
      </c>
      <c r="U142" s="614">
        <f t="shared" si="39"/>
        <v>-16</v>
      </c>
      <c r="V142" s="615">
        <f>SUM(W$134:Z142)</f>
        <v>50</v>
      </c>
      <c r="W142" s="565">
        <v>7</v>
      </c>
      <c r="X142" s="531"/>
      <c r="Y142" s="532"/>
      <c r="Z142" s="532"/>
      <c r="AA142" s="604"/>
      <c r="AB142" s="522"/>
      <c r="AC142" s="534"/>
      <c r="AD142" s="616"/>
      <c r="AE142" s="616"/>
      <c r="AF142" s="534"/>
      <c r="AG142" s="616"/>
      <c r="AH142" s="607"/>
      <c r="AI142" s="607"/>
      <c r="AJ142" s="534"/>
      <c r="AK142" s="616"/>
      <c r="AL142" s="616"/>
      <c r="AM142" s="534"/>
      <c r="AN142" s="604"/>
      <c r="AO142" s="530">
        <v>9</v>
      </c>
      <c r="AP142" s="532">
        <v>12</v>
      </c>
      <c r="AQ142" s="531"/>
      <c r="AR142" s="532"/>
      <c r="AS142" s="532"/>
      <c r="AT142" s="613">
        <f>SUM(AP$134:AS142)</f>
        <v>49</v>
      </c>
      <c r="AU142" s="614">
        <f t="shared" si="41"/>
        <v>9</v>
      </c>
      <c r="AV142" s="615">
        <f>SUM(AW$134:AZ142)</f>
        <v>40</v>
      </c>
      <c r="AW142" s="532">
        <v>6</v>
      </c>
      <c r="AX142" s="531"/>
      <c r="AY142" s="532"/>
      <c r="AZ142" s="532"/>
      <c r="BA142" s="605"/>
      <c r="BB142" s="530">
        <v>9</v>
      </c>
      <c r="BC142" s="1427">
        <v>7</v>
      </c>
      <c r="BD142" s="531"/>
      <c r="BE142" s="532"/>
      <c r="BF142" s="532"/>
      <c r="BG142" s="613">
        <f>SUM(BC$134:BF142)</f>
        <v>50</v>
      </c>
      <c r="BH142" s="614">
        <f t="shared" si="42"/>
        <v>8</v>
      </c>
      <c r="BI142" s="615">
        <f>SUM(BJ$134:BM142)</f>
        <v>42</v>
      </c>
      <c r="BJ142" s="532"/>
      <c r="BK142" s="531"/>
      <c r="BL142" s="532"/>
      <c r="BM142" s="532"/>
      <c r="BN142" s="605"/>
      <c r="BO142" s="530">
        <v>9</v>
      </c>
      <c r="BP142" s="532">
        <v>5</v>
      </c>
      <c r="BQ142" s="531"/>
      <c r="BR142" s="532"/>
      <c r="BS142" s="532"/>
      <c r="BT142" s="613">
        <f>SUM(BP$134:BS142)</f>
        <v>24</v>
      </c>
      <c r="BU142" s="614">
        <f t="shared" si="43"/>
        <v>0</v>
      </c>
      <c r="BV142" s="615">
        <f>SUM(BW$134:BZ142)</f>
        <v>24</v>
      </c>
      <c r="BW142" s="532" t="s">
        <v>2</v>
      </c>
      <c r="BX142" s="531"/>
      <c r="BY142" s="532"/>
      <c r="BZ142" s="532"/>
      <c r="CA142" s="605"/>
      <c r="CB142" s="529"/>
      <c r="CC142" s="518"/>
      <c r="CD142" s="520"/>
      <c r="CE142" s="520"/>
      <c r="CF142" s="518"/>
      <c r="CG142" s="612"/>
      <c r="CH142" s="604"/>
      <c r="CI142" s="612"/>
      <c r="CJ142" s="518"/>
      <c r="CK142" s="520"/>
      <c r="CL142" s="520"/>
      <c r="CM142" s="518"/>
      <c r="CN142" s="605"/>
    </row>
    <row r="143" spans="1:92" s="517" customFormat="1" ht="15">
      <c r="A143" s="1537"/>
      <c r="B143" s="522"/>
      <c r="C143" s="534"/>
      <c r="D143" s="616"/>
      <c r="E143" s="616"/>
      <c r="F143" s="534"/>
      <c r="G143" s="616"/>
      <c r="H143" s="607"/>
      <c r="I143" s="607"/>
      <c r="J143" s="534"/>
      <c r="K143" s="616"/>
      <c r="L143" s="616"/>
      <c r="M143" s="534"/>
      <c r="N143" s="604"/>
      <c r="O143" s="567"/>
      <c r="P143" s="572"/>
      <c r="Q143" s="523"/>
      <c r="R143" s="572"/>
      <c r="S143" s="534"/>
      <c r="T143" s="616"/>
      <c r="U143" s="607"/>
      <c r="V143" s="607"/>
      <c r="W143" s="534"/>
      <c r="X143" s="523"/>
      <c r="Y143" s="572"/>
      <c r="Z143" s="572"/>
      <c r="AA143" s="604"/>
      <c r="AB143" s="522"/>
      <c r="AC143" s="534"/>
      <c r="AD143" s="616"/>
      <c r="AE143" s="616"/>
      <c r="AF143" s="534"/>
      <c r="AG143" s="616"/>
      <c r="AH143" s="607"/>
      <c r="AI143" s="607"/>
      <c r="AJ143" s="534"/>
      <c r="AK143" s="616"/>
      <c r="AL143" s="616"/>
      <c r="AM143" s="534"/>
      <c r="AN143" s="604"/>
      <c r="AO143" s="530">
        <v>10</v>
      </c>
      <c r="AP143" s="531"/>
      <c r="AQ143" s="535">
        <v>-24</v>
      </c>
      <c r="AR143" s="532"/>
      <c r="AS143" s="600"/>
      <c r="AT143" s="613">
        <f>SUM(AP$134:AS143)</f>
        <v>25</v>
      </c>
      <c r="AU143" s="614">
        <f>AT143-AV143</f>
        <v>-18</v>
      </c>
      <c r="AV143" s="615">
        <f>SUM(AW$134:AZ143)</f>
        <v>43</v>
      </c>
      <c r="AW143" s="531"/>
      <c r="AX143" s="532">
        <v>3</v>
      </c>
      <c r="AY143" s="532"/>
      <c r="AZ143" s="600"/>
      <c r="BA143" s="605"/>
      <c r="BB143" s="522"/>
      <c r="BC143" s="534"/>
      <c r="BD143" s="616"/>
      <c r="BE143" s="616"/>
      <c r="BF143" s="534"/>
      <c r="BG143" s="616"/>
      <c r="BH143" s="607"/>
      <c r="BI143" s="607"/>
      <c r="BJ143" s="534"/>
      <c r="BK143" s="616"/>
      <c r="BL143" s="616"/>
      <c r="BM143" s="534"/>
      <c r="BN143" s="605"/>
      <c r="BO143" s="530">
        <v>10</v>
      </c>
      <c r="BP143" s="531"/>
      <c r="BQ143" s="532">
        <v>10</v>
      </c>
      <c r="BR143" s="532"/>
      <c r="BS143" s="600"/>
      <c r="BT143" s="613">
        <f>SUM(BP$134:BS143)</f>
        <v>34</v>
      </c>
      <c r="BU143" s="614">
        <f>BT143-BV143</f>
        <v>10</v>
      </c>
      <c r="BV143" s="615">
        <f>SUM(BW$134:BZ143)</f>
        <v>24</v>
      </c>
      <c r="BW143" s="531"/>
      <c r="BX143" s="532" t="s">
        <v>2</v>
      </c>
      <c r="BY143" s="532"/>
      <c r="BZ143" s="600"/>
      <c r="CA143" s="605"/>
      <c r="CB143" s="529"/>
      <c r="CC143" s="518"/>
      <c r="CD143" s="520"/>
      <c r="CE143" s="520"/>
      <c r="CF143" s="518"/>
      <c r="CG143" s="612"/>
      <c r="CH143" s="604"/>
      <c r="CI143" s="612"/>
      <c r="CJ143" s="518"/>
      <c r="CK143" s="520"/>
      <c r="CL143" s="520"/>
      <c r="CM143" s="518"/>
      <c r="CN143" s="605"/>
    </row>
    <row r="144" spans="1:92" s="517" customFormat="1" ht="15">
      <c r="A144" s="1537"/>
      <c r="B144" s="522"/>
      <c r="C144" s="534"/>
      <c r="D144" s="616"/>
      <c r="E144" s="616"/>
      <c r="F144" s="534"/>
      <c r="G144" s="616"/>
      <c r="H144" s="607"/>
      <c r="I144" s="607"/>
      <c r="J144" s="534"/>
      <c r="K144" s="616"/>
      <c r="L144" s="616"/>
      <c r="M144" s="534"/>
      <c r="N144" s="604"/>
      <c r="O144" s="567"/>
      <c r="P144" s="572"/>
      <c r="Q144" s="523"/>
      <c r="R144" s="572"/>
      <c r="S144" s="534"/>
      <c r="T144" s="616"/>
      <c r="U144" s="607"/>
      <c r="V144" s="607"/>
      <c r="W144" s="534"/>
      <c r="X144" s="523"/>
      <c r="Y144" s="572"/>
      <c r="Z144" s="572"/>
      <c r="AA144" s="604"/>
      <c r="AB144" s="522"/>
      <c r="AC144" s="534"/>
      <c r="AD144" s="616"/>
      <c r="AE144" s="616"/>
      <c r="AF144" s="534"/>
      <c r="AG144" s="616"/>
      <c r="AH144" s="607"/>
      <c r="AI144" s="607"/>
      <c r="AJ144" s="534"/>
      <c r="AK144" s="616"/>
      <c r="AL144" s="616"/>
      <c r="AM144" s="534"/>
      <c r="AN144" s="604"/>
      <c r="AO144" s="533">
        <v>11</v>
      </c>
      <c r="AP144" s="532"/>
      <c r="AQ144" s="531"/>
      <c r="AR144" s="532">
        <v>1</v>
      </c>
      <c r="AS144" s="532"/>
      <c r="AT144" s="613">
        <f>SUM(AP$134:AS144)</f>
        <v>26</v>
      </c>
      <c r="AU144" s="614">
        <f t="shared" si="41"/>
        <v>-18</v>
      </c>
      <c r="AV144" s="615">
        <f>SUM(AW$134:AZ144)</f>
        <v>44</v>
      </c>
      <c r="AW144" s="532"/>
      <c r="AX144" s="531"/>
      <c r="AY144" s="532">
        <v>1</v>
      </c>
      <c r="AZ144" s="532"/>
      <c r="BA144" s="605"/>
      <c r="BB144" s="522"/>
      <c r="BC144" s="534"/>
      <c r="BD144" s="616"/>
      <c r="BE144" s="616"/>
      <c r="BF144" s="534"/>
      <c r="BG144" s="616"/>
      <c r="BH144" s="607"/>
      <c r="BI144" s="607"/>
      <c r="BJ144" s="534"/>
      <c r="BK144" s="616"/>
      <c r="BL144" s="616"/>
      <c r="BM144" s="534"/>
      <c r="BN144" s="605"/>
      <c r="BO144" s="533">
        <v>11</v>
      </c>
      <c r="BP144" s="532"/>
      <c r="BQ144" s="531"/>
      <c r="BR144" s="532" t="s">
        <v>2</v>
      </c>
      <c r="BS144" s="532"/>
      <c r="BT144" s="613">
        <f>SUM(BP$134:BS144)</f>
        <v>34</v>
      </c>
      <c r="BU144" s="614">
        <f t="shared" si="43"/>
        <v>8</v>
      </c>
      <c r="BV144" s="615">
        <f>SUM(BW$134:BZ144)</f>
        <v>26</v>
      </c>
      <c r="BW144" s="532"/>
      <c r="BX144" s="531"/>
      <c r="BY144" s="653">
        <v>2</v>
      </c>
      <c r="BZ144" s="532"/>
      <c r="CA144" s="605"/>
      <c r="CB144" s="529"/>
      <c r="CC144" s="518"/>
      <c r="CD144" s="520"/>
      <c r="CE144" s="520"/>
      <c r="CF144" s="518"/>
      <c r="CG144" s="612"/>
      <c r="CH144" s="604"/>
      <c r="CI144" s="612"/>
      <c r="CJ144" s="518"/>
      <c r="CK144" s="520"/>
      <c r="CL144" s="520"/>
      <c r="CM144" s="518"/>
      <c r="CN144" s="605"/>
    </row>
    <row r="145" spans="1:92" s="517" customFormat="1" ht="15">
      <c r="A145" s="1537"/>
      <c r="B145" s="522"/>
      <c r="C145" s="534"/>
      <c r="D145" s="616"/>
      <c r="E145" s="616"/>
      <c r="F145" s="534"/>
      <c r="G145" s="616"/>
      <c r="H145" s="607"/>
      <c r="I145" s="607"/>
      <c r="J145" s="534"/>
      <c r="K145" s="616"/>
      <c r="L145" s="616"/>
      <c r="M145" s="534"/>
      <c r="N145" s="604"/>
      <c r="O145" s="567"/>
      <c r="P145" s="572"/>
      <c r="Q145" s="523"/>
      <c r="R145" s="572"/>
      <c r="S145" s="534"/>
      <c r="T145" s="616"/>
      <c r="U145" s="607"/>
      <c r="V145" s="607"/>
      <c r="W145" s="534"/>
      <c r="X145" s="523"/>
      <c r="Y145" s="572"/>
      <c r="Z145" s="572"/>
      <c r="AA145" s="604"/>
      <c r="AB145" s="522"/>
      <c r="AC145" s="534"/>
      <c r="AD145" s="616"/>
      <c r="AE145" s="616"/>
      <c r="AF145" s="534"/>
      <c r="AG145" s="616"/>
      <c r="AH145" s="607"/>
      <c r="AI145" s="607"/>
      <c r="AJ145" s="534"/>
      <c r="AK145" s="616"/>
      <c r="AL145" s="616"/>
      <c r="AM145" s="534"/>
      <c r="AN145" s="604"/>
      <c r="AO145" s="533">
        <v>12</v>
      </c>
      <c r="AP145" s="531"/>
      <c r="AQ145" s="532"/>
      <c r="AR145" s="532"/>
      <c r="AS145" s="600">
        <v>11</v>
      </c>
      <c r="AT145" s="613">
        <f>SUM(AP$134:AS145)</f>
        <v>37</v>
      </c>
      <c r="AU145" s="614">
        <f t="shared" si="41"/>
        <v>-7</v>
      </c>
      <c r="AV145" s="615">
        <f>SUM(AW$134:AZ145)</f>
        <v>44</v>
      </c>
      <c r="AW145" s="531"/>
      <c r="AX145" s="532"/>
      <c r="AY145" s="532"/>
      <c r="AZ145" s="600" t="s">
        <v>2</v>
      </c>
      <c r="BA145" s="605"/>
      <c r="BB145" s="522"/>
      <c r="BC145" s="534"/>
      <c r="BD145" s="616"/>
      <c r="BE145" s="616"/>
      <c r="BF145" s="534"/>
      <c r="BG145" s="616"/>
      <c r="BH145" s="607"/>
      <c r="BI145" s="607"/>
      <c r="BJ145" s="534"/>
      <c r="BK145" s="616"/>
      <c r="BL145" s="616"/>
      <c r="BM145" s="534"/>
      <c r="BN145" s="605"/>
      <c r="BO145" s="533">
        <v>12</v>
      </c>
      <c r="BP145" s="531"/>
      <c r="BQ145" s="532"/>
      <c r="BR145" s="532"/>
      <c r="BS145" s="600" t="s">
        <v>2</v>
      </c>
      <c r="BT145" s="613">
        <f>SUM(BP$134:BS145)</f>
        <v>34</v>
      </c>
      <c r="BU145" s="614">
        <f t="shared" si="43"/>
        <v>0</v>
      </c>
      <c r="BV145" s="615">
        <f>SUM(BW$134:BZ145)</f>
        <v>34</v>
      </c>
      <c r="BW145" s="531"/>
      <c r="BX145" s="532"/>
      <c r="BY145" s="532"/>
      <c r="BZ145" s="600">
        <v>8</v>
      </c>
      <c r="CA145" s="605"/>
      <c r="CB145" s="529"/>
      <c r="CC145" s="518"/>
      <c r="CD145" s="520"/>
      <c r="CE145" s="520"/>
      <c r="CF145" s="518"/>
      <c r="CG145" s="612"/>
      <c r="CH145" s="604"/>
      <c r="CI145" s="612"/>
      <c r="CJ145" s="518"/>
      <c r="CK145" s="520"/>
      <c r="CL145" s="520"/>
      <c r="CM145" s="518"/>
      <c r="CN145" s="605"/>
    </row>
    <row r="146" spans="1:92" s="517" customFormat="1" ht="15">
      <c r="A146" s="1537"/>
      <c r="B146" s="522"/>
      <c r="C146" s="534"/>
      <c r="D146" s="616"/>
      <c r="E146" s="616"/>
      <c r="F146" s="534"/>
      <c r="G146" s="616"/>
      <c r="H146" s="607"/>
      <c r="I146" s="607"/>
      <c r="J146" s="534"/>
      <c r="K146" s="616"/>
      <c r="L146" s="616"/>
      <c r="M146" s="534"/>
      <c r="N146" s="604"/>
      <c r="O146" s="567"/>
      <c r="P146" s="572"/>
      <c r="Q146" s="523"/>
      <c r="R146" s="572"/>
      <c r="S146" s="534"/>
      <c r="T146" s="616"/>
      <c r="U146" s="607"/>
      <c r="V146" s="607"/>
      <c r="W146" s="534"/>
      <c r="X146" s="523"/>
      <c r="Y146" s="572"/>
      <c r="Z146" s="572"/>
      <c r="AA146" s="604"/>
      <c r="AB146" s="522"/>
      <c r="AC146" s="534"/>
      <c r="AD146" s="616"/>
      <c r="AE146" s="616"/>
      <c r="AF146" s="534"/>
      <c r="AG146" s="616"/>
      <c r="AH146" s="607"/>
      <c r="AI146" s="607"/>
      <c r="AJ146" s="534"/>
      <c r="AK146" s="616"/>
      <c r="AL146" s="616"/>
      <c r="AM146" s="534"/>
      <c r="AN146" s="604"/>
      <c r="AO146" s="530">
        <v>13</v>
      </c>
      <c r="AP146" s="532" t="s">
        <v>2</v>
      </c>
      <c r="AQ146" s="531"/>
      <c r="AR146" s="532"/>
      <c r="AS146" s="532"/>
      <c r="AT146" s="613">
        <f>SUM(AP$134:AS146)</f>
        <v>37</v>
      </c>
      <c r="AU146" s="614">
        <f t="shared" si="41"/>
        <v>-13</v>
      </c>
      <c r="AV146" s="615">
        <f>SUM(AW$134:AZ146)</f>
        <v>50</v>
      </c>
      <c r="AW146" s="1427">
        <v>6</v>
      </c>
      <c r="AX146" s="531"/>
      <c r="AY146" s="532"/>
      <c r="AZ146" s="532"/>
      <c r="BA146" s="605"/>
      <c r="BB146" s="522"/>
      <c r="BC146" s="534"/>
      <c r="BD146" s="616"/>
      <c r="BE146" s="616"/>
      <c r="BF146" s="534"/>
      <c r="BG146" s="616"/>
      <c r="BH146" s="607"/>
      <c r="BI146" s="607"/>
      <c r="BJ146" s="534"/>
      <c r="BK146" s="616"/>
      <c r="BL146" s="616"/>
      <c r="BM146" s="534"/>
      <c r="BN146" s="605"/>
      <c r="BO146" s="530">
        <v>13</v>
      </c>
      <c r="BP146" s="659">
        <v>-34</v>
      </c>
      <c r="BQ146" s="531"/>
      <c r="BR146" s="532"/>
      <c r="BS146" s="532"/>
      <c r="BT146" s="613">
        <f>SUM(BP$134:BS146)</f>
        <v>0</v>
      </c>
      <c r="BU146" s="614">
        <f t="shared" si="43"/>
        <v>-34</v>
      </c>
      <c r="BV146" s="615">
        <f>SUM(BW$134:BZ146)</f>
        <v>34</v>
      </c>
      <c r="BW146" s="532"/>
      <c r="BX146" s="531"/>
      <c r="BY146" s="532"/>
      <c r="BZ146" s="532"/>
      <c r="CA146" s="605"/>
      <c r="CB146" s="529"/>
      <c r="CC146" s="518"/>
      <c r="CD146" s="520"/>
      <c r="CE146" s="520"/>
      <c r="CF146" s="518"/>
      <c r="CG146" s="612"/>
      <c r="CH146" s="604"/>
      <c r="CI146" s="612"/>
      <c r="CJ146" s="518"/>
      <c r="CK146" s="520"/>
      <c r="CL146" s="520"/>
      <c r="CM146" s="518"/>
      <c r="CN146" s="605"/>
    </row>
    <row r="147" spans="1:92" s="517" customFormat="1">
      <c r="A147" s="1537"/>
      <c r="B147" s="522"/>
      <c r="C147" s="534"/>
      <c r="D147" s="616"/>
      <c r="E147" s="616"/>
      <c r="F147" s="534"/>
      <c r="G147" s="616"/>
      <c r="H147" s="607"/>
      <c r="I147" s="607"/>
      <c r="J147" s="534"/>
      <c r="K147" s="616"/>
      <c r="L147" s="616"/>
      <c r="M147" s="534"/>
      <c r="N147" s="604"/>
      <c r="O147" s="522"/>
      <c r="P147" s="534"/>
      <c r="Q147" s="616"/>
      <c r="R147" s="616"/>
      <c r="S147" s="534"/>
      <c r="T147" s="616"/>
      <c r="U147" s="607"/>
      <c r="V147" s="607"/>
      <c r="W147" s="534"/>
      <c r="X147" s="616"/>
      <c r="Y147" s="616"/>
      <c r="Z147" s="534"/>
      <c r="AA147" s="604"/>
      <c r="AB147" s="522"/>
      <c r="AC147" s="534"/>
      <c r="AD147" s="616"/>
      <c r="AE147" s="616"/>
      <c r="AF147" s="534"/>
      <c r="AG147" s="616"/>
      <c r="AH147" s="607"/>
      <c r="AI147" s="607"/>
      <c r="AJ147" s="534"/>
      <c r="AK147" s="616"/>
      <c r="AL147" s="616"/>
      <c r="AM147" s="534"/>
      <c r="AN147" s="604"/>
      <c r="AO147" s="522"/>
      <c r="AP147" s="534"/>
      <c r="AQ147" s="616"/>
      <c r="AR147" s="616"/>
      <c r="AS147" s="534"/>
      <c r="AT147" s="616"/>
      <c r="AU147" s="607"/>
      <c r="AV147" s="607"/>
      <c r="AW147" s="534"/>
      <c r="AX147" s="616"/>
      <c r="AY147" s="616"/>
      <c r="AZ147" s="534"/>
      <c r="BA147" s="605"/>
      <c r="BB147" s="522"/>
      <c r="BC147" s="534"/>
      <c r="BD147" s="616"/>
      <c r="BE147" s="616"/>
      <c r="BF147" s="534"/>
      <c r="BG147" s="616"/>
      <c r="BH147" s="607"/>
      <c r="BI147" s="607"/>
      <c r="BJ147" s="534"/>
      <c r="BK147" s="616"/>
      <c r="BL147" s="616"/>
      <c r="BM147" s="534"/>
      <c r="BN147" s="605"/>
      <c r="BO147" s="522"/>
      <c r="BP147" s="534"/>
      <c r="BQ147" s="616"/>
      <c r="BR147" s="616"/>
      <c r="BS147" s="534"/>
      <c r="BT147" s="616"/>
      <c r="BU147" s="607"/>
      <c r="BV147" s="607"/>
      <c r="BW147" s="534"/>
      <c r="BX147" s="616"/>
      <c r="BY147" s="616"/>
      <c r="BZ147" s="534"/>
      <c r="CA147" s="605"/>
      <c r="CB147" s="529"/>
      <c r="CC147" s="518"/>
      <c r="CD147" s="606"/>
      <c r="CE147" s="606"/>
      <c r="CF147" s="518"/>
      <c r="CG147" s="606"/>
      <c r="CH147" s="604"/>
      <c r="CI147" s="604"/>
      <c r="CJ147" s="518"/>
      <c r="CK147" s="606"/>
      <c r="CL147" s="606"/>
      <c r="CM147" s="518"/>
      <c r="CN147" s="605"/>
    </row>
    <row r="148" spans="1:92" s="517" customFormat="1" ht="15">
      <c r="A148" s="1537"/>
      <c r="B148" s="539" t="s">
        <v>3</v>
      </c>
      <c r="C148" s="531">
        <f>SUM(C134:C147)</f>
        <v>13</v>
      </c>
      <c r="D148" s="531">
        <f>SUM(D134:D147)</f>
        <v>6</v>
      </c>
      <c r="E148" s="531">
        <f>SUM(E134:E147)</f>
        <v>3</v>
      </c>
      <c r="F148" s="531">
        <f>SUM(F134:F147)</f>
        <v>14</v>
      </c>
      <c r="G148" s="541">
        <f>SUM(C148:F148)</f>
        <v>36</v>
      </c>
      <c r="H148" s="607"/>
      <c r="I148" s="541">
        <f>SUM(J148:M148)</f>
        <v>50</v>
      </c>
      <c r="J148" s="531">
        <f>SUM(J134:J147)</f>
        <v>20</v>
      </c>
      <c r="K148" s="531">
        <f>SUM(K134:K147)</f>
        <v>18</v>
      </c>
      <c r="L148" s="531">
        <f>SUM(L134:L147)</f>
        <v>10</v>
      </c>
      <c r="M148" s="540">
        <f>SUM(M134:M147)</f>
        <v>2</v>
      </c>
      <c r="N148" s="604"/>
      <c r="O148" s="539" t="s">
        <v>3</v>
      </c>
      <c r="P148" s="531">
        <f>SUM(P134:P147)</f>
        <v>9</v>
      </c>
      <c r="Q148" s="531">
        <f>SUM(Q134:Q147)</f>
        <v>10</v>
      </c>
      <c r="R148" s="531">
        <f>SUM(R134:R147)</f>
        <v>10</v>
      </c>
      <c r="S148" s="531">
        <f>SUM(S134:S147)</f>
        <v>5</v>
      </c>
      <c r="T148" s="541">
        <f>SUM(P148:S148)</f>
        <v>34</v>
      </c>
      <c r="U148" s="607"/>
      <c r="V148" s="541">
        <f>SUM(W148:Z148)</f>
        <v>50</v>
      </c>
      <c r="W148" s="531">
        <f>SUM(W134:W147)</f>
        <v>22</v>
      </c>
      <c r="X148" s="531">
        <f>SUM(X134:X147)</f>
        <v>6</v>
      </c>
      <c r="Y148" s="531">
        <f>SUM(Y134:Y147)</f>
        <v>9</v>
      </c>
      <c r="Z148" s="540">
        <f>SUM(Z134:Z147)</f>
        <v>13</v>
      </c>
      <c r="AA148" s="604"/>
      <c r="AB148" s="539" t="s">
        <v>3</v>
      </c>
      <c r="AC148" s="531">
        <f>SUM(AC134:AC147)</f>
        <v>12</v>
      </c>
      <c r="AD148" s="531">
        <f>SUM(AD134:AD147)</f>
        <v>4</v>
      </c>
      <c r="AE148" s="531">
        <f>SUM(AE134:AE147)</f>
        <v>11</v>
      </c>
      <c r="AF148" s="531">
        <f>SUM(AF134:AF147)</f>
        <v>0</v>
      </c>
      <c r="AG148" s="541">
        <f>SUM(AC148:AF148)</f>
        <v>27</v>
      </c>
      <c r="AH148" s="607"/>
      <c r="AI148" s="541">
        <f>SUM(AJ148:AM148)</f>
        <v>50</v>
      </c>
      <c r="AJ148" s="531">
        <f>SUM(AJ134:AJ147)</f>
        <v>2</v>
      </c>
      <c r="AK148" s="531">
        <f>SUM(AK134:AK147)</f>
        <v>16</v>
      </c>
      <c r="AL148" s="531">
        <f>SUM(AL134:AL147)</f>
        <v>21</v>
      </c>
      <c r="AM148" s="540">
        <f>SUM(AM134:AM147)</f>
        <v>11</v>
      </c>
      <c r="AN148" s="604"/>
      <c r="AO148" s="539" t="s">
        <v>3</v>
      </c>
      <c r="AP148" s="531">
        <f>SUM(AP134:AP147)</f>
        <v>21</v>
      </c>
      <c r="AQ148" s="564">
        <f>SUM(AQ134:AQ147)</f>
        <v>-24</v>
      </c>
      <c r="AR148" s="531">
        <f>SUM(AR134:AR147)</f>
        <v>6</v>
      </c>
      <c r="AS148" s="531">
        <f>SUM(AS134:AS147)</f>
        <v>34</v>
      </c>
      <c r="AT148" s="541">
        <f>SUM(AP148:AS148)</f>
        <v>37</v>
      </c>
      <c r="AU148" s="607"/>
      <c r="AV148" s="541">
        <f>SUM(AW148:AZ148)</f>
        <v>50</v>
      </c>
      <c r="AW148" s="531">
        <f>SUM(AW134:AW147)</f>
        <v>28</v>
      </c>
      <c r="AX148" s="531">
        <f>SUM(AX134:AX147)</f>
        <v>5</v>
      </c>
      <c r="AY148" s="531">
        <f>SUM(AY134:AY147)</f>
        <v>10</v>
      </c>
      <c r="AZ148" s="540">
        <f>SUM(AZ134:AZ147)</f>
        <v>7</v>
      </c>
      <c r="BA148" s="605"/>
      <c r="BB148" s="539" t="s">
        <v>3</v>
      </c>
      <c r="BC148" s="531">
        <f>SUM(BC134:BC147)</f>
        <v>23</v>
      </c>
      <c r="BD148" s="531">
        <f>SUM(BD134:BD147)</f>
        <v>2</v>
      </c>
      <c r="BE148" s="531">
        <f>SUM(BE134:BE147)</f>
        <v>15</v>
      </c>
      <c r="BF148" s="531">
        <f>SUM(BF134:BF147)</f>
        <v>10</v>
      </c>
      <c r="BG148" s="541">
        <f>SUM(BC148:BF148)</f>
        <v>50</v>
      </c>
      <c r="BH148" s="607"/>
      <c r="BI148" s="541">
        <f>SUM(BJ148:BM148)</f>
        <v>42</v>
      </c>
      <c r="BJ148" s="531">
        <f>SUM(BJ134:BJ147)</f>
        <v>8</v>
      </c>
      <c r="BK148" s="531">
        <f>SUM(BK134:BK147)</f>
        <v>14</v>
      </c>
      <c r="BL148" s="531">
        <f>SUM(BL134:BL147)</f>
        <v>3</v>
      </c>
      <c r="BM148" s="540">
        <f>SUM(BM134:BM147)</f>
        <v>17</v>
      </c>
      <c r="BN148" s="605"/>
      <c r="BO148" s="539" t="s">
        <v>3</v>
      </c>
      <c r="BP148" s="659">
        <f>SUM(BP134:BP147)</f>
        <v>-15</v>
      </c>
      <c r="BQ148" s="531">
        <f>SUM(BQ134:BQ147)</f>
        <v>10</v>
      </c>
      <c r="BR148" s="531">
        <f>SUM(BR134:BR147)</f>
        <v>0</v>
      </c>
      <c r="BS148" s="531">
        <f>SUM(BS134:BS147)</f>
        <v>5</v>
      </c>
      <c r="BT148" s="541">
        <f>SUM(BP148:BS148)</f>
        <v>0</v>
      </c>
      <c r="BU148" s="607"/>
      <c r="BV148" s="541">
        <f>SUM(BW148:BZ148)</f>
        <v>34</v>
      </c>
      <c r="BW148" s="531">
        <f>SUM(BW134:BW147)</f>
        <v>2</v>
      </c>
      <c r="BX148" s="531">
        <f>SUM(BX134:BX147)</f>
        <v>12</v>
      </c>
      <c r="BY148" s="531">
        <f>SUM(BY134:BY147)</f>
        <v>8</v>
      </c>
      <c r="BZ148" s="540">
        <f>SUM(BZ134:BZ147)</f>
        <v>12</v>
      </c>
      <c r="CA148" s="605"/>
      <c r="CB148" s="536"/>
      <c r="CC148" s="518"/>
      <c r="CD148" s="518"/>
      <c r="CE148" s="518"/>
      <c r="CF148" s="518"/>
      <c r="CG148" s="537"/>
      <c r="CH148" s="604"/>
      <c r="CI148" s="537"/>
      <c r="CJ148" s="518"/>
      <c r="CK148" s="518"/>
      <c r="CL148" s="518"/>
      <c r="CM148" s="518"/>
      <c r="CN148" s="605"/>
    </row>
    <row r="149" spans="1:92" s="517" customFormat="1" ht="15">
      <c r="A149" s="1537"/>
      <c r="B149" s="542" t="s">
        <v>4</v>
      </c>
      <c r="C149" s="532">
        <f>COUNTA(C134:C147)</f>
        <v>3</v>
      </c>
      <c r="D149" s="532">
        <f>COUNTA(D134:D147)</f>
        <v>2</v>
      </c>
      <c r="E149" s="532">
        <f>COUNTA(E134:E147)</f>
        <v>2</v>
      </c>
      <c r="F149" s="532">
        <f>COUNTA(F134:F147)</f>
        <v>2</v>
      </c>
      <c r="G149" s="541">
        <f>SUM(C149:F149)</f>
        <v>9</v>
      </c>
      <c r="H149" s="607"/>
      <c r="I149" s="541">
        <f>SUM(J149:M149)</f>
        <v>9</v>
      </c>
      <c r="J149" s="532">
        <f>COUNTA(J134:J147)</f>
        <v>3</v>
      </c>
      <c r="K149" s="532">
        <f>COUNTA(K134:K147)</f>
        <v>2</v>
      </c>
      <c r="L149" s="532">
        <f>COUNTA(L134:L147)</f>
        <v>2</v>
      </c>
      <c r="M149" s="532">
        <f>COUNTA(M134:M147)</f>
        <v>2</v>
      </c>
      <c r="N149" s="604"/>
      <c r="O149" s="542" t="s">
        <v>4</v>
      </c>
      <c r="P149" s="532">
        <f>COUNTA(P134:P147)</f>
        <v>3</v>
      </c>
      <c r="Q149" s="532">
        <f>COUNTA(Q134:Q147)</f>
        <v>2</v>
      </c>
      <c r="R149" s="532">
        <f>COUNTA(R134:R147)</f>
        <v>2</v>
      </c>
      <c r="S149" s="532">
        <f>COUNTA(S134:S147)</f>
        <v>2</v>
      </c>
      <c r="T149" s="541">
        <f>SUM(P149:S149)</f>
        <v>9</v>
      </c>
      <c r="U149" s="607"/>
      <c r="V149" s="541">
        <f>SUM(W149:Z149)</f>
        <v>9</v>
      </c>
      <c r="W149" s="532">
        <f>COUNTA(W134:W147)</f>
        <v>3</v>
      </c>
      <c r="X149" s="532">
        <f>COUNTA(X134:X147)</f>
        <v>2</v>
      </c>
      <c r="Y149" s="532">
        <f>COUNTA(Y134:Y147)</f>
        <v>2</v>
      </c>
      <c r="Z149" s="532">
        <f>COUNTA(Z134:Z147)</f>
        <v>2</v>
      </c>
      <c r="AA149" s="604"/>
      <c r="AB149" s="542" t="s">
        <v>4</v>
      </c>
      <c r="AC149" s="532">
        <f>COUNTA(AC134:AC147)</f>
        <v>2</v>
      </c>
      <c r="AD149" s="532">
        <f>COUNTA(AD134:AD147)</f>
        <v>2</v>
      </c>
      <c r="AE149" s="532">
        <f>COUNTA(AE134:AE147)</f>
        <v>2</v>
      </c>
      <c r="AF149" s="532">
        <f>COUNTA(AF134:AF147)</f>
        <v>1</v>
      </c>
      <c r="AG149" s="541">
        <f>SUM(AC149:AF149)</f>
        <v>7</v>
      </c>
      <c r="AH149" s="607"/>
      <c r="AI149" s="541">
        <f>SUM(AJ149:AM149)</f>
        <v>7</v>
      </c>
      <c r="AJ149" s="532">
        <f>COUNTA(AJ134:AJ147)</f>
        <v>2</v>
      </c>
      <c r="AK149" s="532">
        <f>COUNTA(AK134:AK147)</f>
        <v>2</v>
      </c>
      <c r="AL149" s="532">
        <f>COUNTA(AL134:AL147)</f>
        <v>2</v>
      </c>
      <c r="AM149" s="532">
        <f>COUNTA(AM134:AM147)</f>
        <v>1</v>
      </c>
      <c r="AN149" s="604"/>
      <c r="AO149" s="542" t="s">
        <v>4</v>
      </c>
      <c r="AP149" s="532">
        <f>COUNTA(AP134:AP147)</f>
        <v>4</v>
      </c>
      <c r="AQ149" s="532">
        <f>COUNTA(AQ134:AQ147)</f>
        <v>3</v>
      </c>
      <c r="AR149" s="532">
        <f>COUNTA(AR134:AR147)</f>
        <v>3</v>
      </c>
      <c r="AS149" s="532">
        <f>COUNTA(AS134:AS147)</f>
        <v>3</v>
      </c>
      <c r="AT149" s="541">
        <f>SUM(AP149:AS149)</f>
        <v>13</v>
      </c>
      <c r="AU149" s="607"/>
      <c r="AV149" s="541">
        <f>SUM(AW149:AZ149)</f>
        <v>13</v>
      </c>
      <c r="AW149" s="532">
        <f>COUNTA(AW134:AW147)</f>
        <v>4</v>
      </c>
      <c r="AX149" s="532">
        <f>COUNTA(AX134:AX147)</f>
        <v>3</v>
      </c>
      <c r="AY149" s="532">
        <f>COUNTA(AY134:AY147)</f>
        <v>3</v>
      </c>
      <c r="AZ149" s="532">
        <f>COUNTA(AZ134:AZ147)</f>
        <v>3</v>
      </c>
      <c r="BA149" s="605"/>
      <c r="BB149" s="542" t="s">
        <v>4</v>
      </c>
      <c r="BC149" s="532">
        <f>COUNTA(BC134:BC147)</f>
        <v>3</v>
      </c>
      <c r="BD149" s="532">
        <f>COUNTA(BD134:BD147)</f>
        <v>2</v>
      </c>
      <c r="BE149" s="532">
        <f>COUNTA(BE134:BE147)</f>
        <v>2</v>
      </c>
      <c r="BF149" s="532">
        <f>COUNTA(BF134:BF147)</f>
        <v>2</v>
      </c>
      <c r="BG149" s="541">
        <f>SUM(BC149:BF149)</f>
        <v>9</v>
      </c>
      <c r="BH149" s="607"/>
      <c r="BI149" s="541">
        <f>SUM(BJ149:BM149)</f>
        <v>8</v>
      </c>
      <c r="BJ149" s="532">
        <f>COUNTA(BJ134:BJ147)</f>
        <v>2</v>
      </c>
      <c r="BK149" s="532">
        <f>COUNTA(BK134:BK147)</f>
        <v>2</v>
      </c>
      <c r="BL149" s="532">
        <f>COUNTA(BL134:BL147)</f>
        <v>2</v>
      </c>
      <c r="BM149" s="532">
        <f>COUNTA(BM134:BM147)</f>
        <v>2</v>
      </c>
      <c r="BN149" s="605"/>
      <c r="BO149" s="542" t="s">
        <v>4</v>
      </c>
      <c r="BP149" s="532">
        <f>COUNTA(BP134:BP147)</f>
        <v>4</v>
      </c>
      <c r="BQ149" s="532">
        <f>COUNTA(BQ134:BQ147)</f>
        <v>3</v>
      </c>
      <c r="BR149" s="532">
        <f>COUNTA(BR134:BR147)</f>
        <v>3</v>
      </c>
      <c r="BS149" s="532">
        <f>COUNTA(BS134:BS147)</f>
        <v>3</v>
      </c>
      <c r="BT149" s="541">
        <f>SUM(BP149:BS149)</f>
        <v>13</v>
      </c>
      <c r="BU149" s="607"/>
      <c r="BV149" s="541">
        <f>SUM(BW149:BZ149)</f>
        <v>12</v>
      </c>
      <c r="BW149" s="532">
        <f>COUNTA(BW134:BW147)</f>
        <v>3</v>
      </c>
      <c r="BX149" s="532">
        <f>COUNTA(BX134:BX147)</f>
        <v>3</v>
      </c>
      <c r="BY149" s="532">
        <f>COUNTA(BY134:BY147)</f>
        <v>3</v>
      </c>
      <c r="BZ149" s="532">
        <f>COUNTA(BZ134:BZ147)</f>
        <v>3</v>
      </c>
      <c r="CA149" s="605"/>
      <c r="CB149" s="536"/>
      <c r="CC149" s="538"/>
      <c r="CD149" s="538"/>
      <c r="CE149" s="538"/>
      <c r="CF149" s="538"/>
      <c r="CG149" s="537"/>
      <c r="CH149" s="604"/>
      <c r="CI149" s="537"/>
      <c r="CJ149" s="520"/>
      <c r="CK149" s="520"/>
      <c r="CL149" s="520"/>
      <c r="CM149" s="520"/>
      <c r="CN149" s="605"/>
    </row>
    <row r="150" spans="1:92" s="517" customFormat="1" ht="15">
      <c r="A150" s="1537"/>
      <c r="B150" s="539" t="s">
        <v>6</v>
      </c>
      <c r="C150" s="531">
        <f>C149-COUNT(C134:C147)</f>
        <v>1</v>
      </c>
      <c r="D150" s="531">
        <f>D149-COUNT(D134:D147)</f>
        <v>0</v>
      </c>
      <c r="E150" s="531">
        <f>E149-COUNT(E134:E147)</f>
        <v>1</v>
      </c>
      <c r="F150" s="531">
        <f>F149-COUNT(F134:F147)</f>
        <v>0</v>
      </c>
      <c r="G150" s="541">
        <f>SUM(C150:F150)</f>
        <v>2</v>
      </c>
      <c r="H150" s="607"/>
      <c r="I150" s="541">
        <f>SUM(J150:M150)</f>
        <v>2</v>
      </c>
      <c r="J150" s="531">
        <f>J149-COUNT(J134:J147)</f>
        <v>0</v>
      </c>
      <c r="K150" s="540">
        <f>K149-COUNT(K134:K147)</f>
        <v>0</v>
      </c>
      <c r="L150" s="540">
        <f>L149-COUNT(L134:L147)</f>
        <v>1</v>
      </c>
      <c r="M150" s="531">
        <f>M149-COUNT(M134:M147)</f>
        <v>1</v>
      </c>
      <c r="N150" s="604"/>
      <c r="O150" s="539" t="s">
        <v>6</v>
      </c>
      <c r="P150" s="531">
        <f>P149-COUNT(P134:P147)</f>
        <v>1</v>
      </c>
      <c r="Q150" s="531">
        <f>Q149-COUNT(Q134:Q147)</f>
        <v>1</v>
      </c>
      <c r="R150" s="531">
        <f>R149-COUNT(R134:R147)</f>
        <v>1</v>
      </c>
      <c r="S150" s="531">
        <f>S149-COUNT(S134:S147)</f>
        <v>0</v>
      </c>
      <c r="T150" s="541">
        <f>SUM(P150:S150)</f>
        <v>3</v>
      </c>
      <c r="U150" s="607"/>
      <c r="V150" s="541">
        <f>SUM(W150:Z150)</f>
        <v>2</v>
      </c>
      <c r="W150" s="531">
        <f>W149-COUNT(W134:W147)</f>
        <v>0</v>
      </c>
      <c r="X150" s="540">
        <f>X149-COUNT(X134:X147)</f>
        <v>1</v>
      </c>
      <c r="Y150" s="540">
        <f>Y149-COUNT(Y134:Y147)</f>
        <v>1</v>
      </c>
      <c r="Z150" s="531">
        <f>Z149-COUNT(Z134:Z147)</f>
        <v>0</v>
      </c>
      <c r="AA150" s="604"/>
      <c r="AB150" s="539" t="s">
        <v>6</v>
      </c>
      <c r="AC150" s="531">
        <f>AC149-COUNT(AC134:AC147)</f>
        <v>1</v>
      </c>
      <c r="AD150" s="531">
        <f>AD149-COUNT(AD134:AD147)</f>
        <v>0</v>
      </c>
      <c r="AE150" s="531">
        <f>AE149-COUNT(AE134:AE147)</f>
        <v>1</v>
      </c>
      <c r="AF150" s="531">
        <f>AF149-COUNT(AF134:AF147)</f>
        <v>1</v>
      </c>
      <c r="AG150" s="541">
        <f>SUM(AC150:AF150)</f>
        <v>3</v>
      </c>
      <c r="AH150" s="607"/>
      <c r="AI150" s="541">
        <f>SUM(AJ150:AM150)</f>
        <v>1</v>
      </c>
      <c r="AJ150" s="531">
        <f>AJ149-COUNT(AJ134:AJ147)</f>
        <v>1</v>
      </c>
      <c r="AK150" s="540">
        <f>AK149-COUNT(AK134:AK147)</f>
        <v>0</v>
      </c>
      <c r="AL150" s="540">
        <f>AL149-COUNT(AL134:AL147)</f>
        <v>0</v>
      </c>
      <c r="AM150" s="531">
        <f>AM149-COUNT(AM134:AM147)</f>
        <v>0</v>
      </c>
      <c r="AN150" s="604"/>
      <c r="AO150" s="539" t="s">
        <v>6</v>
      </c>
      <c r="AP150" s="531">
        <f>AP149-COUNT(AP134:AP147)</f>
        <v>2</v>
      </c>
      <c r="AQ150" s="531">
        <f>AQ149-COUNT(AQ134:AQ147)</f>
        <v>2</v>
      </c>
      <c r="AR150" s="531">
        <f>AR149-COUNT(AR134:AR147)</f>
        <v>0</v>
      </c>
      <c r="AS150" s="531">
        <f>AS149-COUNT(AS134:AS147)</f>
        <v>0</v>
      </c>
      <c r="AT150" s="541">
        <f>SUM(AP150:AS150)</f>
        <v>4</v>
      </c>
      <c r="AU150" s="607"/>
      <c r="AV150" s="541">
        <f>SUM(AW150:AZ150)</f>
        <v>3</v>
      </c>
      <c r="AW150" s="531">
        <f>AW149-COUNT(AW134:AW147)</f>
        <v>0</v>
      </c>
      <c r="AX150" s="540">
        <f>AX149-COUNT(AX134:AX147)</f>
        <v>1</v>
      </c>
      <c r="AY150" s="540">
        <f>AY149-COUNT(AY134:AY147)</f>
        <v>1</v>
      </c>
      <c r="AZ150" s="531">
        <f>AZ149-COUNT(AZ134:AZ147)</f>
        <v>1</v>
      </c>
      <c r="BA150" s="605"/>
      <c r="BB150" s="539" t="s">
        <v>6</v>
      </c>
      <c r="BC150" s="531">
        <f>BC149-COUNT(BC134:BC147)</f>
        <v>0</v>
      </c>
      <c r="BD150" s="531">
        <f>BD149-COUNT(BD134:BD147)</f>
        <v>1</v>
      </c>
      <c r="BE150" s="531">
        <f>BE149-COUNT(BE134:BE147)</f>
        <v>0</v>
      </c>
      <c r="BF150" s="531">
        <f>BF149-COUNT(BF134:BF147)</f>
        <v>1</v>
      </c>
      <c r="BG150" s="541">
        <f>SUM(BC150:BF150)</f>
        <v>2</v>
      </c>
      <c r="BH150" s="607"/>
      <c r="BI150" s="541">
        <f>SUM(BJ150:BM150)</f>
        <v>1</v>
      </c>
      <c r="BJ150" s="531">
        <f>BJ149-COUNT(BJ134:BJ147)</f>
        <v>0</v>
      </c>
      <c r="BK150" s="540">
        <f>BK149-COUNT(BK134:BK147)</f>
        <v>0</v>
      </c>
      <c r="BL150" s="540">
        <f>BL149-COUNT(BL134:BL147)</f>
        <v>1</v>
      </c>
      <c r="BM150" s="531">
        <f>BM149-COUNT(BM134:BM147)</f>
        <v>0</v>
      </c>
      <c r="BN150" s="605"/>
      <c r="BO150" s="539" t="s">
        <v>6</v>
      </c>
      <c r="BP150" s="659">
        <v>1</v>
      </c>
      <c r="BQ150" s="531">
        <f>BQ149-COUNT(BQ134:BQ147)</f>
        <v>2</v>
      </c>
      <c r="BR150" s="531">
        <f>BR149-COUNT(BR134:BR147)</f>
        <v>3</v>
      </c>
      <c r="BS150" s="531">
        <f>BS149-COUNT(BS134:BS147)</f>
        <v>1</v>
      </c>
      <c r="BT150" s="541">
        <f>SUM(BP150:BS150)</f>
        <v>7</v>
      </c>
      <c r="BU150" s="607"/>
      <c r="BV150" s="541">
        <f>SUM(BW150:BZ150)</f>
        <v>3</v>
      </c>
      <c r="BW150" s="531">
        <f>BW149-COUNT(BW134:BW147)</f>
        <v>2</v>
      </c>
      <c r="BX150" s="540">
        <f>BX149-COUNT(BX134:BX147)</f>
        <v>1</v>
      </c>
      <c r="BY150" s="540">
        <f>BY149-COUNT(BY134:BY147)</f>
        <v>0</v>
      </c>
      <c r="BZ150" s="531">
        <f>BZ149-COUNT(BZ134:BZ147)</f>
        <v>0</v>
      </c>
      <c r="CA150" s="605"/>
      <c r="CB150" s="536"/>
      <c r="CC150" s="543"/>
      <c r="CD150" s="545"/>
      <c r="CE150" s="545"/>
      <c r="CF150" s="545"/>
      <c r="CG150" s="544"/>
      <c r="CH150" s="604"/>
      <c r="CI150" s="544"/>
      <c r="CJ150" s="543"/>
      <c r="CK150" s="543"/>
      <c r="CL150" s="543"/>
      <c r="CM150" s="543"/>
      <c r="CN150" s="605"/>
    </row>
    <row r="151" spans="1:92" s="517" customFormat="1" ht="15">
      <c r="A151" s="1537"/>
      <c r="B151" s="539" t="s">
        <v>12</v>
      </c>
      <c r="C151" s="549">
        <f>C150/C149</f>
        <v>0.33333333333333331</v>
      </c>
      <c r="D151" s="546">
        <f>D150/D149</f>
        <v>0</v>
      </c>
      <c r="E151" s="546">
        <f>E150/E149</f>
        <v>0.5</v>
      </c>
      <c r="F151" s="546">
        <f>F150/F149</f>
        <v>0</v>
      </c>
      <c r="G151" s="548">
        <f>G150/G149</f>
        <v>0.22222222222222221</v>
      </c>
      <c r="H151" s="607"/>
      <c r="I151" s="548">
        <f>I150/I149</f>
        <v>0.22222222222222221</v>
      </c>
      <c r="J151" s="546">
        <f>J150/J149</f>
        <v>0</v>
      </c>
      <c r="K151" s="547">
        <f>K150/K149</f>
        <v>0</v>
      </c>
      <c r="L151" s="547">
        <f>L150/L149</f>
        <v>0.5</v>
      </c>
      <c r="M151" s="546">
        <f>M150/M149</f>
        <v>0.5</v>
      </c>
      <c r="N151" s="604"/>
      <c r="O151" s="539" t="s">
        <v>12</v>
      </c>
      <c r="P151" s="549">
        <f>P150/P149</f>
        <v>0.33333333333333331</v>
      </c>
      <c r="Q151" s="546">
        <f>Q150/Q149</f>
        <v>0.5</v>
      </c>
      <c r="R151" s="546">
        <f>R150/R149</f>
        <v>0.5</v>
      </c>
      <c r="S151" s="546">
        <f>S150/S149</f>
        <v>0</v>
      </c>
      <c r="T151" s="548">
        <f>T150/T149</f>
        <v>0.33333333333333331</v>
      </c>
      <c r="U151" s="607"/>
      <c r="V151" s="548">
        <f>V150/V149</f>
        <v>0.22222222222222221</v>
      </c>
      <c r="W151" s="546">
        <f>W150/W149</f>
        <v>0</v>
      </c>
      <c r="X151" s="547">
        <f>X150/X149</f>
        <v>0.5</v>
      </c>
      <c r="Y151" s="547">
        <f>Y150/Y149</f>
        <v>0.5</v>
      </c>
      <c r="Z151" s="546">
        <f>Z150/Z149</f>
        <v>0</v>
      </c>
      <c r="AA151" s="604"/>
      <c r="AB151" s="539" t="s">
        <v>12</v>
      </c>
      <c r="AC151" s="549">
        <f>AC150/AC149</f>
        <v>0.5</v>
      </c>
      <c r="AD151" s="546">
        <f>AD150/AD149</f>
        <v>0</v>
      </c>
      <c r="AE151" s="546">
        <f>AE150/AE149</f>
        <v>0.5</v>
      </c>
      <c r="AF151" s="546">
        <f>AF150/AF149</f>
        <v>1</v>
      </c>
      <c r="AG151" s="548">
        <f>AG150/AG149</f>
        <v>0.42857142857142855</v>
      </c>
      <c r="AH151" s="607"/>
      <c r="AI151" s="548">
        <f>AI150/AI149</f>
        <v>0.14285714285714285</v>
      </c>
      <c r="AJ151" s="546">
        <f>AJ150/AJ149</f>
        <v>0.5</v>
      </c>
      <c r="AK151" s="547">
        <f>AK150/AK149</f>
        <v>0</v>
      </c>
      <c r="AL151" s="547">
        <f>AL150/AL149</f>
        <v>0</v>
      </c>
      <c r="AM151" s="546">
        <f>AM150/AM149</f>
        <v>0</v>
      </c>
      <c r="AN151" s="604"/>
      <c r="AO151" s="539" t="s">
        <v>12</v>
      </c>
      <c r="AP151" s="549">
        <f>AP150/AP149</f>
        <v>0.5</v>
      </c>
      <c r="AQ151" s="546">
        <f>AQ150/AQ149</f>
        <v>0.66666666666666663</v>
      </c>
      <c r="AR151" s="546">
        <f>AR150/AR149</f>
        <v>0</v>
      </c>
      <c r="AS151" s="546">
        <f>AS150/AS149</f>
        <v>0</v>
      </c>
      <c r="AT151" s="548">
        <f>AT150/AT149</f>
        <v>0.30769230769230771</v>
      </c>
      <c r="AU151" s="607"/>
      <c r="AV151" s="548">
        <f>AV150/AV149</f>
        <v>0.23076923076923078</v>
      </c>
      <c r="AW151" s="546">
        <f>AW150/AW149</f>
        <v>0</v>
      </c>
      <c r="AX151" s="547">
        <f>AX150/AX149</f>
        <v>0.33333333333333331</v>
      </c>
      <c r="AY151" s="547">
        <f>AY150/AY149</f>
        <v>0.33333333333333331</v>
      </c>
      <c r="AZ151" s="546">
        <f>AZ150/AZ149</f>
        <v>0.33333333333333331</v>
      </c>
      <c r="BA151" s="605"/>
      <c r="BB151" s="539" t="s">
        <v>12</v>
      </c>
      <c r="BC151" s="549">
        <f>BC150/BC149</f>
        <v>0</v>
      </c>
      <c r="BD151" s="546">
        <f>BD150/BD149</f>
        <v>0.5</v>
      </c>
      <c r="BE151" s="546">
        <f>BE150/BE149</f>
        <v>0</v>
      </c>
      <c r="BF151" s="546">
        <f>BF150/BF149</f>
        <v>0.5</v>
      </c>
      <c r="BG151" s="548">
        <f>BG150/BG149</f>
        <v>0.22222222222222221</v>
      </c>
      <c r="BH151" s="607"/>
      <c r="BI151" s="548">
        <f>BI150/BI149</f>
        <v>0.125</v>
      </c>
      <c r="BJ151" s="546">
        <f>BJ150/BJ149</f>
        <v>0</v>
      </c>
      <c r="BK151" s="547">
        <f>BK150/BK149</f>
        <v>0</v>
      </c>
      <c r="BL151" s="547">
        <f>BL150/BL149</f>
        <v>0.5</v>
      </c>
      <c r="BM151" s="546">
        <f>BM150/BM149</f>
        <v>0</v>
      </c>
      <c r="BN151" s="605"/>
      <c r="BO151" s="539" t="s">
        <v>12</v>
      </c>
      <c r="BP151" s="549">
        <f>BP150/BP149</f>
        <v>0.25</v>
      </c>
      <c r="BQ151" s="546">
        <f>BQ150/BQ149</f>
        <v>0.66666666666666663</v>
      </c>
      <c r="BR151" s="546">
        <f>BR150/BR149</f>
        <v>1</v>
      </c>
      <c r="BS151" s="546">
        <f>BS150/BS149</f>
        <v>0.33333333333333331</v>
      </c>
      <c r="BT151" s="548">
        <f>BT150/BT149</f>
        <v>0.53846153846153844</v>
      </c>
      <c r="BU151" s="607"/>
      <c r="BV151" s="548">
        <f>BV150/BV149</f>
        <v>0.25</v>
      </c>
      <c r="BW151" s="546">
        <f>BW150/BW149</f>
        <v>0.66666666666666663</v>
      </c>
      <c r="BX151" s="547">
        <f>BX150/BX149</f>
        <v>0.33333333333333331</v>
      </c>
      <c r="BY151" s="547">
        <f>BY150/BY149</f>
        <v>0</v>
      </c>
      <c r="BZ151" s="546">
        <f>BZ150/BZ149</f>
        <v>0</v>
      </c>
      <c r="CA151" s="605"/>
      <c r="CB151" s="536"/>
      <c r="CC151" s="550"/>
      <c r="CD151" s="552"/>
      <c r="CE151" s="552"/>
      <c r="CF151" s="550"/>
      <c r="CG151" s="551"/>
      <c r="CH151" s="604"/>
      <c r="CI151" s="551"/>
      <c r="CJ151" s="550"/>
      <c r="CK151" s="550"/>
      <c r="CL151" s="550"/>
      <c r="CM151" s="550"/>
      <c r="CN151" s="605"/>
    </row>
    <row r="152" spans="1:92" s="517" customFormat="1" ht="15">
      <c r="A152" s="1537"/>
      <c r="B152" s="539" t="s">
        <v>5</v>
      </c>
      <c r="C152" s="553">
        <f>C148/C149</f>
        <v>4.333333333333333</v>
      </c>
      <c r="D152" s="553">
        <f>D148/D149</f>
        <v>3</v>
      </c>
      <c r="E152" s="553">
        <f>E148/E149</f>
        <v>1.5</v>
      </c>
      <c r="F152" s="553">
        <f>F148/F149</f>
        <v>7</v>
      </c>
      <c r="G152" s="555">
        <f>G148/G149</f>
        <v>4</v>
      </c>
      <c r="H152" s="607"/>
      <c r="I152" s="555">
        <f>I148/I149</f>
        <v>5.5555555555555554</v>
      </c>
      <c r="J152" s="553">
        <f>J148/J149</f>
        <v>6.666666666666667</v>
      </c>
      <c r="K152" s="553">
        <f>K148/K149</f>
        <v>9</v>
      </c>
      <c r="L152" s="553">
        <f>L148/L149</f>
        <v>5</v>
      </c>
      <c r="M152" s="554">
        <f>M148/M149</f>
        <v>1</v>
      </c>
      <c r="N152" s="604"/>
      <c r="O152" s="539" t="s">
        <v>5</v>
      </c>
      <c r="P152" s="553">
        <f>P148/P149</f>
        <v>3</v>
      </c>
      <c r="Q152" s="553">
        <f>Q148/Q149</f>
        <v>5</v>
      </c>
      <c r="R152" s="553">
        <f>R148/R149</f>
        <v>5</v>
      </c>
      <c r="S152" s="553">
        <f>S148/S149</f>
        <v>2.5</v>
      </c>
      <c r="T152" s="555">
        <f>T148/T149</f>
        <v>3.7777777777777777</v>
      </c>
      <c r="U152" s="607"/>
      <c r="V152" s="555">
        <f>V148/V149</f>
        <v>5.5555555555555554</v>
      </c>
      <c r="W152" s="553">
        <f>W148/W149</f>
        <v>7.333333333333333</v>
      </c>
      <c r="X152" s="553">
        <f>X148/X149</f>
        <v>3</v>
      </c>
      <c r="Y152" s="553">
        <f>Y148/Y149</f>
        <v>4.5</v>
      </c>
      <c r="Z152" s="554">
        <f>Z148/Z149</f>
        <v>6.5</v>
      </c>
      <c r="AA152" s="604"/>
      <c r="AB152" s="539" t="s">
        <v>5</v>
      </c>
      <c r="AC152" s="553">
        <f>AC148/AC149</f>
        <v>6</v>
      </c>
      <c r="AD152" s="553">
        <f>AD148/AD149</f>
        <v>2</v>
      </c>
      <c r="AE152" s="553">
        <f>AE148/AE149</f>
        <v>5.5</v>
      </c>
      <c r="AF152" s="553">
        <f>AF148/AF149</f>
        <v>0</v>
      </c>
      <c r="AG152" s="555">
        <f>AG148/AG149</f>
        <v>3.8571428571428572</v>
      </c>
      <c r="AH152" s="607"/>
      <c r="AI152" s="555">
        <f>AI148/AI149</f>
        <v>7.1428571428571432</v>
      </c>
      <c r="AJ152" s="553">
        <f>AJ148/AJ149</f>
        <v>1</v>
      </c>
      <c r="AK152" s="553">
        <f>AK148/AK149</f>
        <v>8</v>
      </c>
      <c r="AL152" s="553">
        <f>AL148/AL149</f>
        <v>10.5</v>
      </c>
      <c r="AM152" s="554">
        <f>AM148/AM149</f>
        <v>11</v>
      </c>
      <c r="AN152" s="604"/>
      <c r="AO152" s="539" t="s">
        <v>5</v>
      </c>
      <c r="AP152" s="553">
        <f>AP148/AP149</f>
        <v>5.25</v>
      </c>
      <c r="AQ152" s="553">
        <f>AQ148/AQ149</f>
        <v>-8</v>
      </c>
      <c r="AR152" s="553">
        <f>AR148/AR149</f>
        <v>2</v>
      </c>
      <c r="AS152" s="553">
        <f>AS148/AS149</f>
        <v>11.333333333333334</v>
      </c>
      <c r="AT152" s="555">
        <f>AT148/AT149</f>
        <v>2.8461538461538463</v>
      </c>
      <c r="AU152" s="607"/>
      <c r="AV152" s="555">
        <f>AV148/AV149</f>
        <v>3.8461538461538463</v>
      </c>
      <c r="AW152" s="553">
        <f>AW148/AW149</f>
        <v>7</v>
      </c>
      <c r="AX152" s="553">
        <f>AX148/AX149</f>
        <v>1.6666666666666667</v>
      </c>
      <c r="AY152" s="553">
        <f>AY148/AY149</f>
        <v>3.3333333333333335</v>
      </c>
      <c r="AZ152" s="554">
        <f>AZ148/AZ149</f>
        <v>2.3333333333333335</v>
      </c>
      <c r="BA152" s="605"/>
      <c r="BB152" s="539" t="s">
        <v>5</v>
      </c>
      <c r="BC152" s="553">
        <f>BC148/BC149</f>
        <v>7.666666666666667</v>
      </c>
      <c r="BD152" s="553">
        <f>BD148/BD149</f>
        <v>1</v>
      </c>
      <c r="BE152" s="553">
        <f>BE148/BE149</f>
        <v>7.5</v>
      </c>
      <c r="BF152" s="553">
        <f>BF148/BF149</f>
        <v>5</v>
      </c>
      <c r="BG152" s="555">
        <f>BG148/BG149</f>
        <v>5.5555555555555554</v>
      </c>
      <c r="BH152" s="607"/>
      <c r="BI152" s="555">
        <f>BI148/BI149</f>
        <v>5.25</v>
      </c>
      <c r="BJ152" s="553">
        <f>BJ148/BJ149</f>
        <v>4</v>
      </c>
      <c r="BK152" s="553">
        <f>BK148/BK149</f>
        <v>7</v>
      </c>
      <c r="BL152" s="553">
        <f>BL148/BL149</f>
        <v>1.5</v>
      </c>
      <c r="BM152" s="554">
        <f>BM148/BM149</f>
        <v>8.5</v>
      </c>
      <c r="BN152" s="605"/>
      <c r="BO152" s="539" t="s">
        <v>5</v>
      </c>
      <c r="BP152" s="553">
        <f>BP148/BP149</f>
        <v>-3.75</v>
      </c>
      <c r="BQ152" s="553">
        <f>BQ148/BQ149</f>
        <v>3.3333333333333335</v>
      </c>
      <c r="BR152" s="553">
        <f>BR148/BR149</f>
        <v>0</v>
      </c>
      <c r="BS152" s="553">
        <f>BS148/BS149</f>
        <v>1.6666666666666667</v>
      </c>
      <c r="BT152" s="555">
        <f>BT148/BT149</f>
        <v>0</v>
      </c>
      <c r="BU152" s="607"/>
      <c r="BV152" s="555">
        <f>BV148/BV149</f>
        <v>2.8333333333333335</v>
      </c>
      <c r="BW152" s="553">
        <f>BW148/BW149</f>
        <v>0.66666666666666663</v>
      </c>
      <c r="BX152" s="553">
        <f>BX148/BX149</f>
        <v>4</v>
      </c>
      <c r="BY152" s="553">
        <f>BY148/BY149</f>
        <v>2.6666666666666665</v>
      </c>
      <c r="BZ152" s="554">
        <f>BZ148/BZ149</f>
        <v>4</v>
      </c>
      <c r="CA152" s="605"/>
      <c r="CB152" s="536"/>
      <c r="CC152" s="550"/>
      <c r="CD152" s="552"/>
      <c r="CE152" s="552"/>
      <c r="CF152" s="556"/>
      <c r="CG152" s="557"/>
      <c r="CH152" s="604"/>
      <c r="CI152" s="557"/>
      <c r="CJ152" s="556"/>
      <c r="CK152" s="556"/>
      <c r="CL152" s="556"/>
      <c r="CM152" s="556"/>
      <c r="CN152" s="605"/>
    </row>
    <row r="153" spans="1:92" s="517" customFormat="1" ht="15">
      <c r="A153" s="1537"/>
      <c r="B153" s="539" t="s">
        <v>8</v>
      </c>
      <c r="C153" s="558">
        <f>C148/(C149-C150)</f>
        <v>6.5</v>
      </c>
      <c r="D153" s="558">
        <f>D148/(D149-D150)</f>
        <v>3</v>
      </c>
      <c r="E153" s="558">
        <f>E148/(E149-E150)</f>
        <v>3</v>
      </c>
      <c r="F153" s="558">
        <f>F148/(F149-F150)</f>
        <v>7</v>
      </c>
      <c r="G153" s="559">
        <f>G148/(G149-G150)</f>
        <v>5.1428571428571432</v>
      </c>
      <c r="H153" s="607"/>
      <c r="I153" s="559">
        <f>I148/(I149-I150)</f>
        <v>7.1428571428571432</v>
      </c>
      <c r="J153" s="558">
        <f>J148/(J149-J150)</f>
        <v>6.666666666666667</v>
      </c>
      <c r="K153" s="553">
        <f>K148/(K149-K150)</f>
        <v>9</v>
      </c>
      <c r="L153" s="553">
        <f>L148/(L149-L150)</f>
        <v>10</v>
      </c>
      <c r="M153" s="554">
        <f>M148/(M149-M150)</f>
        <v>2</v>
      </c>
      <c r="N153" s="604"/>
      <c r="O153" s="539" t="s">
        <v>8</v>
      </c>
      <c r="P153" s="558">
        <f>P148/(P149-P150)</f>
        <v>4.5</v>
      </c>
      <c r="Q153" s="558">
        <f>Q148/(Q149-Q150)</f>
        <v>10</v>
      </c>
      <c r="R153" s="558">
        <f>R148/(R149-R150)</f>
        <v>10</v>
      </c>
      <c r="S153" s="558">
        <f>S148/(S149-S150)</f>
        <v>2.5</v>
      </c>
      <c r="T153" s="559">
        <f>T148/(T149-T150)</f>
        <v>5.666666666666667</v>
      </c>
      <c r="U153" s="607"/>
      <c r="V153" s="559">
        <f>V148/(V149-V150)</f>
        <v>7.1428571428571432</v>
      </c>
      <c r="W153" s="558">
        <f>W148/(W149-W150)</f>
        <v>7.333333333333333</v>
      </c>
      <c r="X153" s="553">
        <f>X148/(X149-X150)</f>
        <v>6</v>
      </c>
      <c r="Y153" s="553">
        <f>Y148/(Y149-Y150)</f>
        <v>9</v>
      </c>
      <c r="Z153" s="554">
        <f>Z148/(Z149-Z150)</f>
        <v>6.5</v>
      </c>
      <c r="AA153" s="604"/>
      <c r="AB153" s="539" t="s">
        <v>8</v>
      </c>
      <c r="AC153" s="558">
        <f>AC148/(AC149-AC150)</f>
        <v>12</v>
      </c>
      <c r="AD153" s="558">
        <f>AD148/(AD149-AD150)</f>
        <v>2</v>
      </c>
      <c r="AE153" s="558">
        <f>AE148/(AE149-AE150)</f>
        <v>11</v>
      </c>
      <c r="AF153" s="660">
        <v>0</v>
      </c>
      <c r="AG153" s="559">
        <f>AG148/(AG149-AG150)</f>
        <v>6.75</v>
      </c>
      <c r="AH153" s="607"/>
      <c r="AI153" s="559">
        <f>AI148/(AI149-AI150)</f>
        <v>8.3333333333333339</v>
      </c>
      <c r="AJ153" s="558">
        <f>AJ148/(AJ149-AJ150)</f>
        <v>2</v>
      </c>
      <c r="AK153" s="553">
        <f>AK148/(AK149-AK150)</f>
        <v>8</v>
      </c>
      <c r="AL153" s="553">
        <f>AL148/(AL149-AL150)</f>
        <v>10.5</v>
      </c>
      <c r="AM153" s="554">
        <f>AM148/(AM149-AM150)</f>
        <v>11</v>
      </c>
      <c r="AN153" s="604"/>
      <c r="AO153" s="539" t="s">
        <v>8</v>
      </c>
      <c r="AP153" s="558">
        <f>AP148/(AP149-AP150)</f>
        <v>10.5</v>
      </c>
      <c r="AQ153" s="660">
        <f>AQ148/(AQ149-AQ150)</f>
        <v>-24</v>
      </c>
      <c r="AR153" s="558">
        <f>AR148/(AR149-AR150)</f>
        <v>2</v>
      </c>
      <c r="AS153" s="558">
        <f>AS148/(AS149-AS150)</f>
        <v>11.333333333333334</v>
      </c>
      <c r="AT153" s="559">
        <f>AT148/(AT149-AT150)</f>
        <v>4.1111111111111107</v>
      </c>
      <c r="AU153" s="607"/>
      <c r="AV153" s="559">
        <f>AV148/(AV149-AV150)</f>
        <v>5</v>
      </c>
      <c r="AW153" s="558">
        <f>AW148/(AW149-AW150)</f>
        <v>7</v>
      </c>
      <c r="AX153" s="553">
        <f>AX148/(AX149-AX150)</f>
        <v>2.5</v>
      </c>
      <c r="AY153" s="553">
        <f>AY148/(AY149-AY150)</f>
        <v>5</v>
      </c>
      <c r="AZ153" s="554">
        <f>AZ148/(AZ149-AZ150)</f>
        <v>3.5</v>
      </c>
      <c r="BA153" s="605"/>
      <c r="BB153" s="539" t="s">
        <v>8</v>
      </c>
      <c r="BC153" s="558">
        <f>BC148/(BC149-BC150)</f>
        <v>7.666666666666667</v>
      </c>
      <c r="BD153" s="558">
        <f>BD148/(BD149-BD150)</f>
        <v>2</v>
      </c>
      <c r="BE153" s="558">
        <f>BE148/(BE149-BE150)</f>
        <v>7.5</v>
      </c>
      <c r="BF153" s="558">
        <f>BF148/(BF149-BF150)</f>
        <v>10</v>
      </c>
      <c r="BG153" s="559">
        <f>BG148/(BG149-BG150)</f>
        <v>7.1428571428571432</v>
      </c>
      <c r="BH153" s="607"/>
      <c r="BI153" s="559">
        <f>BI148/(BI149-BI150)</f>
        <v>6</v>
      </c>
      <c r="BJ153" s="558">
        <f>BJ148/(BJ149-BJ150)</f>
        <v>4</v>
      </c>
      <c r="BK153" s="553">
        <f>BK148/(BK149-BK150)</f>
        <v>7</v>
      </c>
      <c r="BL153" s="553">
        <f>BL148/(BL149-BL150)</f>
        <v>3</v>
      </c>
      <c r="BM153" s="554">
        <f>BM148/(BM149-BM150)</f>
        <v>8.5</v>
      </c>
      <c r="BN153" s="605"/>
      <c r="BO153" s="539" t="s">
        <v>8</v>
      </c>
      <c r="BP153" s="558">
        <f>BP148/(BP149-BP150)</f>
        <v>-5</v>
      </c>
      <c r="BQ153" s="558">
        <f>BQ148/(BQ149-BQ150)</f>
        <v>10</v>
      </c>
      <c r="BR153" s="660">
        <v>0</v>
      </c>
      <c r="BS153" s="558">
        <f>BS148/(BS149-BS150)</f>
        <v>2.5</v>
      </c>
      <c r="BT153" s="559">
        <f>BT148/(BT149-BT150)</f>
        <v>0</v>
      </c>
      <c r="BU153" s="607"/>
      <c r="BV153" s="559">
        <f>BV148/(BV149-BV150)</f>
        <v>3.7777777777777777</v>
      </c>
      <c r="BW153" s="558">
        <f>BW148/(BW149-BW150)</f>
        <v>2</v>
      </c>
      <c r="BX153" s="553">
        <f>BX148/(BX149-BX150)</f>
        <v>6</v>
      </c>
      <c r="BY153" s="553">
        <f>BY148/(BY149-BY150)</f>
        <v>2.6666666666666665</v>
      </c>
      <c r="BZ153" s="554">
        <f>BZ148/(BZ149-BZ150)</f>
        <v>4</v>
      </c>
      <c r="CA153" s="605"/>
      <c r="CB153" s="604"/>
      <c r="CC153" s="604"/>
      <c r="CD153" s="604"/>
      <c r="CE153" s="604"/>
      <c r="CF153" s="604"/>
      <c r="CG153" s="604"/>
      <c r="CH153" s="604"/>
      <c r="CI153" s="604"/>
      <c r="CJ153" s="604"/>
      <c r="CK153" s="604"/>
      <c r="CL153" s="604"/>
      <c r="CM153" s="604"/>
      <c r="CN153" s="605"/>
    </row>
    <row r="154" spans="1:92" s="517" customFormat="1" ht="15">
      <c r="A154" s="617"/>
      <c r="B154" s="529"/>
      <c r="C154" s="518"/>
      <c r="D154" s="518"/>
      <c r="E154" s="518"/>
      <c r="F154" s="518"/>
      <c r="G154" s="606"/>
      <c r="H154" s="604"/>
      <c r="I154" s="604"/>
      <c r="J154" s="604"/>
      <c r="K154" s="604"/>
      <c r="L154" s="604"/>
      <c r="M154" s="604"/>
      <c r="N154" s="604"/>
      <c r="O154" s="529"/>
      <c r="P154" s="518"/>
      <c r="Q154" s="518"/>
      <c r="R154" s="518"/>
      <c r="S154" s="518"/>
      <c r="T154" s="604"/>
      <c r="U154" s="604"/>
      <c r="V154" s="604"/>
      <c r="W154" s="604"/>
      <c r="X154" s="604"/>
      <c r="Y154" s="604"/>
      <c r="Z154" s="604"/>
      <c r="AA154" s="604"/>
      <c r="AB154" s="604"/>
      <c r="AC154" s="604"/>
      <c r="AD154" s="604"/>
      <c r="AE154" s="604"/>
      <c r="AF154" s="604" t="s">
        <v>182</v>
      </c>
      <c r="AG154" s="604"/>
      <c r="AH154" s="604"/>
      <c r="AI154" s="604"/>
      <c r="AJ154" s="604"/>
      <c r="AK154" s="604"/>
      <c r="AL154" s="604"/>
      <c r="AM154" s="604"/>
      <c r="AN154" s="604"/>
      <c r="AO154" s="604"/>
      <c r="AP154" s="604"/>
      <c r="AQ154" s="604"/>
      <c r="AR154" s="604"/>
      <c r="AS154" s="604"/>
      <c r="AT154" s="604"/>
      <c r="AU154" s="604"/>
      <c r="AV154" s="604"/>
      <c r="AW154" s="604"/>
      <c r="AX154" s="604"/>
      <c r="AY154" s="604"/>
      <c r="AZ154" s="604"/>
      <c r="BA154" s="605"/>
      <c r="BB154" s="604"/>
      <c r="BC154" s="604"/>
      <c r="BD154" s="604"/>
      <c r="BE154" s="604"/>
      <c r="BF154" s="604"/>
      <c r="BG154" s="604"/>
      <c r="BH154" s="604"/>
      <c r="BI154" s="604"/>
      <c r="BJ154" s="604"/>
      <c r="BK154" s="604"/>
      <c r="BL154" s="604"/>
      <c r="BM154" s="604"/>
      <c r="BN154" s="605"/>
      <c r="BO154" s="604"/>
      <c r="BP154" s="604"/>
      <c r="BQ154" s="604"/>
      <c r="BR154" s="604"/>
      <c r="BS154" s="604"/>
      <c r="BT154" s="604"/>
      <c r="BU154" s="604"/>
      <c r="BV154" s="604"/>
      <c r="BW154" s="604"/>
      <c r="BX154" s="604"/>
      <c r="BY154" s="604"/>
      <c r="BZ154" s="604"/>
      <c r="CA154" s="605"/>
      <c r="CB154" s="604"/>
      <c r="CC154" s="604"/>
      <c r="CD154" s="604"/>
      <c r="CE154" s="604"/>
      <c r="CF154" s="604"/>
      <c r="CG154" s="604"/>
      <c r="CH154" s="604"/>
      <c r="CI154" s="604"/>
      <c r="CJ154" s="604"/>
      <c r="CK154" s="604"/>
      <c r="CL154" s="604"/>
      <c r="CM154" s="604"/>
      <c r="CN154" s="605"/>
    </row>
  </sheetData>
  <mergeCells count="98">
    <mergeCell ref="B1:M1"/>
    <mergeCell ref="O1:Z1"/>
    <mergeCell ref="AB1:AM1"/>
    <mergeCell ref="AO1:AZ1"/>
    <mergeCell ref="A2:A19"/>
    <mergeCell ref="P2:S2"/>
    <mergeCell ref="W2:Z2"/>
    <mergeCell ref="AC2:AF2"/>
    <mergeCell ref="AJ2:AM2"/>
    <mergeCell ref="AP2:AS2"/>
    <mergeCell ref="AW2:AZ2"/>
    <mergeCell ref="A21:A40"/>
    <mergeCell ref="C21:F21"/>
    <mergeCell ref="J21:M21"/>
    <mergeCell ref="AC21:AF21"/>
    <mergeCell ref="AJ21:AM21"/>
    <mergeCell ref="AP21:AS21"/>
    <mergeCell ref="AW21:AZ21"/>
    <mergeCell ref="AW42:AZ42"/>
    <mergeCell ref="A67:A84"/>
    <mergeCell ref="C67:F67"/>
    <mergeCell ref="J67:M67"/>
    <mergeCell ref="P67:S67"/>
    <mergeCell ref="W67:Z67"/>
    <mergeCell ref="AC67:AF67"/>
    <mergeCell ref="AJ67:AM67"/>
    <mergeCell ref="A42:A65"/>
    <mergeCell ref="C42:F42"/>
    <mergeCell ref="J42:M42"/>
    <mergeCell ref="P42:S42"/>
    <mergeCell ref="W42:Z42"/>
    <mergeCell ref="AP42:AS42"/>
    <mergeCell ref="BC42:BF42"/>
    <mergeCell ref="BJ42:BM42"/>
    <mergeCell ref="BO1:BZ1"/>
    <mergeCell ref="BP2:BS2"/>
    <mergeCell ref="BW2:BZ2"/>
    <mergeCell ref="BP21:BS21"/>
    <mergeCell ref="BW21:BZ21"/>
    <mergeCell ref="BP42:BS42"/>
    <mergeCell ref="BW42:BZ42"/>
    <mergeCell ref="BB1:BM1"/>
    <mergeCell ref="BC2:BF2"/>
    <mergeCell ref="BJ2:BM2"/>
    <mergeCell ref="BC21:BF21"/>
    <mergeCell ref="BJ21:BM21"/>
    <mergeCell ref="CB1:CM1"/>
    <mergeCell ref="CC2:CF2"/>
    <mergeCell ref="CJ2:CM2"/>
    <mergeCell ref="CC21:CF21"/>
    <mergeCell ref="CJ21:CM21"/>
    <mergeCell ref="CC42:CF42"/>
    <mergeCell ref="CJ42:CM42"/>
    <mergeCell ref="A86:A107"/>
    <mergeCell ref="C86:F86"/>
    <mergeCell ref="J86:M86"/>
    <mergeCell ref="P86:S86"/>
    <mergeCell ref="W86:Z86"/>
    <mergeCell ref="AC86:AF86"/>
    <mergeCell ref="AJ86:AM86"/>
    <mergeCell ref="AP86:AS86"/>
    <mergeCell ref="AW86:AZ86"/>
    <mergeCell ref="BC67:BF67"/>
    <mergeCell ref="BJ67:BM67"/>
    <mergeCell ref="BP67:BS67"/>
    <mergeCell ref="BW67:BZ67"/>
    <mergeCell ref="CC67:CF67"/>
    <mergeCell ref="AC109:AF109"/>
    <mergeCell ref="AJ109:AM109"/>
    <mergeCell ref="A131:A153"/>
    <mergeCell ref="C131:F131"/>
    <mergeCell ref="J131:M131"/>
    <mergeCell ref="P131:S131"/>
    <mergeCell ref="W131:Z131"/>
    <mergeCell ref="AC131:AF131"/>
    <mergeCell ref="AJ131:AM131"/>
    <mergeCell ref="A109:A129"/>
    <mergeCell ref="C109:F109"/>
    <mergeCell ref="J109:M109"/>
    <mergeCell ref="P109:S109"/>
    <mergeCell ref="W109:Z109"/>
    <mergeCell ref="AP109:AS109"/>
    <mergeCell ref="AW109:AZ109"/>
    <mergeCell ref="AP131:AS131"/>
    <mergeCell ref="AW131:AZ131"/>
    <mergeCell ref="BC109:BF109"/>
    <mergeCell ref="BJ109:BM109"/>
    <mergeCell ref="BC131:BF131"/>
    <mergeCell ref="BJ131:BM131"/>
    <mergeCell ref="BP131:BS131"/>
    <mergeCell ref="BW131:BZ131"/>
    <mergeCell ref="CJ67:CM67"/>
    <mergeCell ref="CC109:CF109"/>
    <mergeCell ref="CJ109:CM109"/>
    <mergeCell ref="BP86:BS86"/>
    <mergeCell ref="BW86:BZ86"/>
    <mergeCell ref="CC86:CF86"/>
    <mergeCell ref="CJ86:CM86"/>
  </mergeCells>
  <conditionalFormatting sqref="T5">
    <cfRule type="cellIs" dxfId="539" priority="215" operator="lessThan">
      <formula>V5</formula>
    </cfRule>
    <cfRule type="cellIs" dxfId="538" priority="216" operator="greaterThanOrEqual">
      <formula>V5</formula>
    </cfRule>
  </conditionalFormatting>
  <conditionalFormatting sqref="V5">
    <cfRule type="cellIs" dxfId="537" priority="213" operator="lessThan">
      <formula>T5</formula>
    </cfRule>
    <cfRule type="cellIs" dxfId="536" priority="214" operator="greaterThanOrEqual">
      <formula>T5</formula>
    </cfRule>
  </conditionalFormatting>
  <conditionalFormatting sqref="T6:T11">
    <cfRule type="cellIs" dxfId="535" priority="211" operator="lessThan">
      <formula>V6</formula>
    </cfRule>
    <cfRule type="cellIs" dxfId="534" priority="212" operator="greaterThanOrEqual">
      <formula>V6</formula>
    </cfRule>
  </conditionalFormatting>
  <conditionalFormatting sqref="V6:V11">
    <cfRule type="cellIs" dxfId="533" priority="209" operator="lessThan">
      <formula>T6</formula>
    </cfRule>
    <cfRule type="cellIs" dxfId="532" priority="210" operator="greaterThanOrEqual">
      <formula>T6</formula>
    </cfRule>
  </conditionalFormatting>
  <conditionalFormatting sqref="AG5">
    <cfRule type="cellIs" dxfId="531" priority="207" operator="lessThan">
      <formula>AI5</formula>
    </cfRule>
    <cfRule type="cellIs" dxfId="530" priority="208" operator="greaterThanOrEqual">
      <formula>AI5</formula>
    </cfRule>
  </conditionalFormatting>
  <conditionalFormatting sqref="AI5">
    <cfRule type="cellIs" dxfId="529" priority="205" operator="lessThan">
      <formula>AG5</formula>
    </cfRule>
    <cfRule type="cellIs" dxfId="528" priority="206" operator="greaterThanOrEqual">
      <formula>AG5</formula>
    </cfRule>
  </conditionalFormatting>
  <conditionalFormatting sqref="AG6:AG10">
    <cfRule type="cellIs" dxfId="527" priority="203" operator="lessThan">
      <formula>AI6</formula>
    </cfRule>
    <cfRule type="cellIs" dxfId="526" priority="204" operator="greaterThanOrEqual">
      <formula>AI6</formula>
    </cfRule>
  </conditionalFormatting>
  <conditionalFormatting sqref="AI6:AI10">
    <cfRule type="cellIs" dxfId="525" priority="201" operator="lessThan">
      <formula>AG6</formula>
    </cfRule>
    <cfRule type="cellIs" dxfId="524" priority="202" operator="greaterThanOrEqual">
      <formula>AG6</formula>
    </cfRule>
  </conditionalFormatting>
  <conditionalFormatting sqref="AT5 AT12">
    <cfRule type="cellIs" dxfId="523" priority="199" operator="lessThan">
      <formula>AV5</formula>
    </cfRule>
    <cfRule type="cellIs" dxfId="522" priority="200" operator="greaterThanOrEqual">
      <formula>AV5</formula>
    </cfRule>
  </conditionalFormatting>
  <conditionalFormatting sqref="AV5 AV12">
    <cfRule type="cellIs" dxfId="521" priority="197" operator="lessThan">
      <formula>AT5</formula>
    </cfRule>
    <cfRule type="cellIs" dxfId="520" priority="198" operator="greaterThanOrEqual">
      <formula>AT5</formula>
    </cfRule>
  </conditionalFormatting>
  <conditionalFormatting sqref="AT6:AT11">
    <cfRule type="cellIs" dxfId="519" priority="195" operator="lessThan">
      <formula>AV6</formula>
    </cfRule>
    <cfRule type="cellIs" dxfId="518" priority="196" operator="greaterThanOrEqual">
      <formula>AV6</formula>
    </cfRule>
  </conditionalFormatting>
  <conditionalFormatting sqref="AV6:AV11">
    <cfRule type="cellIs" dxfId="517" priority="193" operator="lessThan">
      <formula>AT6</formula>
    </cfRule>
    <cfRule type="cellIs" dxfId="516" priority="194" operator="greaterThanOrEqual">
      <formula>AT6</formula>
    </cfRule>
  </conditionalFormatting>
  <conditionalFormatting sqref="G24:G30">
    <cfRule type="cellIs" dxfId="515" priority="191" operator="lessThan">
      <formula>I24</formula>
    </cfRule>
    <cfRule type="cellIs" dxfId="514" priority="192" operator="greaterThanOrEqual">
      <formula>I24</formula>
    </cfRule>
  </conditionalFormatting>
  <conditionalFormatting sqref="I24:I30">
    <cfRule type="cellIs" dxfId="513" priority="189" operator="lessThan">
      <formula>G24</formula>
    </cfRule>
    <cfRule type="cellIs" dxfId="512" priority="190" operator="greaterThanOrEqual">
      <formula>G24</formula>
    </cfRule>
  </conditionalFormatting>
  <conditionalFormatting sqref="AG24:AG30">
    <cfRule type="cellIs" dxfId="511" priority="187" operator="lessThan">
      <formula>AI24</formula>
    </cfRule>
    <cfRule type="cellIs" dxfId="510" priority="188" operator="greaterThanOrEqual">
      <formula>AI24</formula>
    </cfRule>
  </conditionalFormatting>
  <conditionalFormatting sqref="AI24:AI30">
    <cfRule type="cellIs" dxfId="509" priority="185" operator="lessThan">
      <formula>AG24</formula>
    </cfRule>
    <cfRule type="cellIs" dxfId="508" priority="186" operator="greaterThanOrEqual">
      <formula>AG24</formula>
    </cfRule>
  </conditionalFormatting>
  <conditionalFormatting sqref="AT24:AT33">
    <cfRule type="cellIs" dxfId="507" priority="183" operator="lessThan">
      <formula>AV24</formula>
    </cfRule>
    <cfRule type="cellIs" dxfId="506" priority="184" operator="greaterThanOrEqual">
      <formula>AV24</formula>
    </cfRule>
  </conditionalFormatting>
  <conditionalFormatting sqref="AV24:AV33">
    <cfRule type="cellIs" dxfId="505" priority="181" operator="lessThan">
      <formula>AT24</formula>
    </cfRule>
    <cfRule type="cellIs" dxfId="504" priority="182" operator="greaterThanOrEqual">
      <formula>AT24</formula>
    </cfRule>
  </conditionalFormatting>
  <conditionalFormatting sqref="G45:G52">
    <cfRule type="cellIs" dxfId="503" priority="179" operator="lessThan">
      <formula>I45</formula>
    </cfRule>
    <cfRule type="cellIs" dxfId="502" priority="180" operator="greaterThanOrEqual">
      <formula>I45</formula>
    </cfRule>
  </conditionalFormatting>
  <conditionalFormatting sqref="I45:I52">
    <cfRule type="cellIs" dxfId="501" priority="177" operator="lessThan">
      <formula>G45</formula>
    </cfRule>
    <cfRule type="cellIs" dxfId="500" priority="178" operator="greaterThanOrEqual">
      <formula>G45</formula>
    </cfRule>
  </conditionalFormatting>
  <conditionalFormatting sqref="T45:T51">
    <cfRule type="cellIs" dxfId="499" priority="175" operator="lessThan">
      <formula>V45</formula>
    </cfRule>
    <cfRule type="cellIs" dxfId="498" priority="176" operator="greaterThanOrEqual">
      <formula>V45</formula>
    </cfRule>
  </conditionalFormatting>
  <conditionalFormatting sqref="V45:V51">
    <cfRule type="cellIs" dxfId="497" priority="173" operator="lessThan">
      <formula>T45</formula>
    </cfRule>
    <cfRule type="cellIs" dxfId="496" priority="174" operator="greaterThanOrEqual">
      <formula>T45</formula>
    </cfRule>
  </conditionalFormatting>
  <conditionalFormatting sqref="AT45:AT51">
    <cfRule type="cellIs" dxfId="495" priority="171" operator="lessThan">
      <formula>AV45</formula>
    </cfRule>
    <cfRule type="cellIs" dxfId="494" priority="172" operator="greaterThanOrEqual">
      <formula>AV45</formula>
    </cfRule>
  </conditionalFormatting>
  <conditionalFormatting sqref="AV45:AV51">
    <cfRule type="cellIs" dxfId="493" priority="169" operator="lessThan">
      <formula>AT45</formula>
    </cfRule>
    <cfRule type="cellIs" dxfId="492" priority="170" operator="greaterThanOrEqual">
      <formula>AT45</formula>
    </cfRule>
  </conditionalFormatting>
  <conditionalFormatting sqref="G70:G76">
    <cfRule type="cellIs" dxfId="491" priority="167" operator="lessThan">
      <formula>I70</formula>
    </cfRule>
    <cfRule type="cellIs" dxfId="490" priority="168" operator="greaterThanOrEqual">
      <formula>I70</formula>
    </cfRule>
  </conditionalFormatting>
  <conditionalFormatting sqref="I70:I76">
    <cfRule type="cellIs" dxfId="489" priority="165" operator="lessThan">
      <formula>G70</formula>
    </cfRule>
    <cfRule type="cellIs" dxfId="488" priority="166" operator="greaterThanOrEqual">
      <formula>G70</formula>
    </cfRule>
  </conditionalFormatting>
  <conditionalFormatting sqref="T70:T77">
    <cfRule type="cellIs" dxfId="487" priority="163" operator="lessThan">
      <formula>V70</formula>
    </cfRule>
    <cfRule type="cellIs" dxfId="486" priority="164" operator="greaterThanOrEqual">
      <formula>V70</formula>
    </cfRule>
  </conditionalFormatting>
  <conditionalFormatting sqref="V70:V77">
    <cfRule type="cellIs" dxfId="485" priority="161" operator="lessThan">
      <formula>T70</formula>
    </cfRule>
    <cfRule type="cellIs" dxfId="484" priority="162" operator="greaterThanOrEqual">
      <formula>T70</formula>
    </cfRule>
  </conditionalFormatting>
  <conditionalFormatting sqref="AG70:AG75">
    <cfRule type="cellIs" dxfId="483" priority="159" operator="lessThan">
      <formula>AI70</formula>
    </cfRule>
    <cfRule type="cellIs" dxfId="482" priority="160" operator="greaterThanOrEqual">
      <formula>AI70</formula>
    </cfRule>
  </conditionalFormatting>
  <conditionalFormatting sqref="AI70:AI75">
    <cfRule type="cellIs" dxfId="481" priority="157" operator="lessThan">
      <formula>AG70</formula>
    </cfRule>
    <cfRule type="cellIs" dxfId="480" priority="158" operator="greaterThanOrEqual">
      <formula>AG70</formula>
    </cfRule>
  </conditionalFormatting>
  <conditionalFormatting sqref="BG5">
    <cfRule type="cellIs" dxfId="479" priority="155" operator="lessThan">
      <formula>BI5</formula>
    </cfRule>
    <cfRule type="cellIs" dxfId="478" priority="156" operator="greaterThanOrEqual">
      <formula>BI5</formula>
    </cfRule>
  </conditionalFormatting>
  <conditionalFormatting sqref="BI5">
    <cfRule type="cellIs" dxfId="477" priority="153" operator="lessThan">
      <formula>BG5</formula>
    </cfRule>
    <cfRule type="cellIs" dxfId="476" priority="154" operator="greaterThanOrEqual">
      <formula>BG5</formula>
    </cfRule>
  </conditionalFormatting>
  <conditionalFormatting sqref="BG6:BG11">
    <cfRule type="cellIs" dxfId="475" priority="151" operator="lessThan">
      <formula>BI6</formula>
    </cfRule>
    <cfRule type="cellIs" dxfId="474" priority="152" operator="greaterThanOrEqual">
      <formula>BI6</formula>
    </cfRule>
  </conditionalFormatting>
  <conditionalFormatting sqref="BI6:BI11">
    <cfRule type="cellIs" dxfId="473" priority="149" operator="lessThan">
      <formula>BG6</formula>
    </cfRule>
    <cfRule type="cellIs" dxfId="472" priority="150" operator="greaterThanOrEqual">
      <formula>BG6</formula>
    </cfRule>
  </conditionalFormatting>
  <conditionalFormatting sqref="BG24:BG29">
    <cfRule type="cellIs" dxfId="471" priority="147" operator="lessThan">
      <formula>BI24</formula>
    </cfRule>
    <cfRule type="cellIs" dxfId="470" priority="148" operator="greaterThanOrEqual">
      <formula>BI24</formula>
    </cfRule>
  </conditionalFormatting>
  <conditionalFormatting sqref="BI24:BI29">
    <cfRule type="cellIs" dxfId="469" priority="145" operator="lessThan">
      <formula>BG24</formula>
    </cfRule>
    <cfRule type="cellIs" dxfId="468" priority="146" operator="greaterThanOrEqual">
      <formula>BG24</formula>
    </cfRule>
  </conditionalFormatting>
  <conditionalFormatting sqref="BG45:BG58">
    <cfRule type="cellIs" dxfId="467" priority="143" operator="lessThan">
      <formula>BI45</formula>
    </cfRule>
    <cfRule type="cellIs" dxfId="466" priority="144" operator="greaterThanOrEqual">
      <formula>BI45</formula>
    </cfRule>
  </conditionalFormatting>
  <conditionalFormatting sqref="BI45:BI58">
    <cfRule type="cellIs" dxfId="465" priority="141" operator="lessThan">
      <formula>BG45</formula>
    </cfRule>
    <cfRule type="cellIs" dxfId="464" priority="142" operator="greaterThanOrEqual">
      <formula>BG45</formula>
    </cfRule>
  </conditionalFormatting>
  <conditionalFormatting sqref="BT5">
    <cfRule type="cellIs" dxfId="463" priority="139" operator="lessThan">
      <formula>BV5</formula>
    </cfRule>
    <cfRule type="cellIs" dxfId="462" priority="140" operator="greaterThanOrEqual">
      <formula>BV5</formula>
    </cfRule>
  </conditionalFormatting>
  <conditionalFormatting sqref="BV5">
    <cfRule type="cellIs" dxfId="461" priority="137" operator="lessThan">
      <formula>BT5</formula>
    </cfRule>
    <cfRule type="cellIs" dxfId="460" priority="138" operator="greaterThanOrEqual">
      <formula>BT5</formula>
    </cfRule>
  </conditionalFormatting>
  <conditionalFormatting sqref="BT6:BT10">
    <cfRule type="cellIs" dxfId="459" priority="135" operator="lessThan">
      <formula>BV6</formula>
    </cfRule>
    <cfRule type="cellIs" dxfId="458" priority="136" operator="greaterThanOrEqual">
      <formula>BV6</formula>
    </cfRule>
  </conditionalFormatting>
  <conditionalFormatting sqref="BV6:BV10">
    <cfRule type="cellIs" dxfId="457" priority="133" operator="lessThan">
      <formula>BT6</formula>
    </cfRule>
    <cfRule type="cellIs" dxfId="456" priority="134" operator="greaterThanOrEqual">
      <formula>BT6</formula>
    </cfRule>
  </conditionalFormatting>
  <conditionalFormatting sqref="BT24:BT29">
    <cfRule type="cellIs" dxfId="455" priority="131" operator="lessThan">
      <formula>BV24</formula>
    </cfRule>
    <cfRule type="cellIs" dxfId="454" priority="132" operator="greaterThanOrEqual">
      <formula>BV24</formula>
    </cfRule>
  </conditionalFormatting>
  <conditionalFormatting sqref="BV24:BV29">
    <cfRule type="cellIs" dxfId="453" priority="129" operator="lessThan">
      <formula>BT24</formula>
    </cfRule>
    <cfRule type="cellIs" dxfId="452" priority="130" operator="greaterThanOrEqual">
      <formula>BT24</formula>
    </cfRule>
  </conditionalFormatting>
  <conditionalFormatting sqref="BT45:BT54">
    <cfRule type="cellIs" dxfId="451" priority="127" operator="lessThan">
      <formula>BV45</formula>
    </cfRule>
    <cfRule type="cellIs" dxfId="450" priority="128" operator="greaterThanOrEqual">
      <formula>BV45</formula>
    </cfRule>
  </conditionalFormatting>
  <conditionalFormatting sqref="BV45:BV54">
    <cfRule type="cellIs" dxfId="449" priority="125" operator="lessThan">
      <formula>BT45</formula>
    </cfRule>
    <cfRule type="cellIs" dxfId="448" priority="126" operator="greaterThanOrEqual">
      <formula>BT45</formula>
    </cfRule>
  </conditionalFormatting>
  <conditionalFormatting sqref="CG5">
    <cfRule type="cellIs" dxfId="447" priority="123" operator="lessThan">
      <formula>CI5</formula>
    </cfRule>
    <cfRule type="cellIs" dxfId="446" priority="124" operator="greaterThanOrEqual">
      <formula>CI5</formula>
    </cfRule>
  </conditionalFormatting>
  <conditionalFormatting sqref="CI5">
    <cfRule type="cellIs" dxfId="445" priority="121" operator="lessThan">
      <formula>CG5</formula>
    </cfRule>
    <cfRule type="cellIs" dxfId="444" priority="122" operator="greaterThanOrEqual">
      <formula>CG5</formula>
    </cfRule>
  </conditionalFormatting>
  <conditionalFormatting sqref="CG6:CG10">
    <cfRule type="cellIs" dxfId="443" priority="119" operator="lessThan">
      <formula>CI6</formula>
    </cfRule>
    <cfRule type="cellIs" dxfId="442" priority="120" operator="greaterThanOrEqual">
      <formula>CI6</formula>
    </cfRule>
  </conditionalFormatting>
  <conditionalFormatting sqref="CI6:CI10">
    <cfRule type="cellIs" dxfId="441" priority="117" operator="lessThan">
      <formula>CG6</formula>
    </cfRule>
    <cfRule type="cellIs" dxfId="440" priority="118" operator="greaterThanOrEqual">
      <formula>CG6</formula>
    </cfRule>
  </conditionalFormatting>
  <conditionalFormatting sqref="CG24:CG29">
    <cfRule type="cellIs" dxfId="439" priority="115" operator="lessThan">
      <formula>CI24</formula>
    </cfRule>
    <cfRule type="cellIs" dxfId="438" priority="116" operator="greaterThanOrEqual">
      <formula>CI24</formula>
    </cfRule>
  </conditionalFormatting>
  <conditionalFormatting sqref="CI24:CI29">
    <cfRule type="cellIs" dxfId="437" priority="113" operator="lessThan">
      <formula>CG24</formula>
    </cfRule>
    <cfRule type="cellIs" dxfId="436" priority="114" operator="greaterThanOrEqual">
      <formula>CG24</formula>
    </cfRule>
  </conditionalFormatting>
  <conditionalFormatting sqref="CG45:CG53">
    <cfRule type="cellIs" dxfId="435" priority="111" operator="lessThan">
      <formula>CI45</formula>
    </cfRule>
    <cfRule type="cellIs" dxfId="434" priority="112" operator="greaterThanOrEqual">
      <formula>CI45</formula>
    </cfRule>
  </conditionalFormatting>
  <conditionalFormatting sqref="CI45:CI53">
    <cfRule type="cellIs" dxfId="433" priority="109" operator="lessThan">
      <formula>CG45</formula>
    </cfRule>
    <cfRule type="cellIs" dxfId="432" priority="110" operator="greaterThanOrEqual">
      <formula>CG45</formula>
    </cfRule>
  </conditionalFormatting>
  <conditionalFormatting sqref="G89:G98">
    <cfRule type="cellIs" dxfId="431" priority="107" operator="lessThan">
      <formula>I89</formula>
    </cfRule>
    <cfRule type="cellIs" dxfId="430" priority="108" operator="greaterThanOrEqual">
      <formula>I89</formula>
    </cfRule>
  </conditionalFormatting>
  <conditionalFormatting sqref="I89:I98">
    <cfRule type="cellIs" dxfId="429" priority="105" operator="lessThan">
      <formula>G89</formula>
    </cfRule>
    <cfRule type="cellIs" dxfId="428" priority="106" operator="greaterThanOrEqual">
      <formula>G89</formula>
    </cfRule>
  </conditionalFormatting>
  <conditionalFormatting sqref="BG134:BG142">
    <cfRule type="cellIs" dxfId="427" priority="31" operator="lessThan">
      <formula>BI134</formula>
    </cfRule>
    <cfRule type="cellIs" dxfId="426" priority="32" operator="greaterThanOrEqual">
      <formula>BI134</formula>
    </cfRule>
  </conditionalFormatting>
  <conditionalFormatting sqref="BI134:BI142">
    <cfRule type="cellIs" dxfId="425" priority="29" operator="lessThan">
      <formula>BG134</formula>
    </cfRule>
    <cfRule type="cellIs" dxfId="424" priority="30" operator="greaterThanOrEqual">
      <formula>BG134</formula>
    </cfRule>
  </conditionalFormatting>
  <conditionalFormatting sqref="AT134:AT146">
    <cfRule type="cellIs" dxfId="423" priority="39" operator="lessThan">
      <formula>AV134</formula>
    </cfRule>
    <cfRule type="cellIs" dxfId="422" priority="40" operator="greaterThanOrEqual">
      <formula>AV134</formula>
    </cfRule>
  </conditionalFormatting>
  <conditionalFormatting sqref="AV134:AV146">
    <cfRule type="cellIs" dxfId="421" priority="37" operator="lessThan">
      <formula>AT134</formula>
    </cfRule>
    <cfRule type="cellIs" dxfId="420" priority="38" operator="greaterThanOrEqual">
      <formula>AT134</formula>
    </cfRule>
  </conditionalFormatting>
  <conditionalFormatting sqref="G112:G120">
    <cfRule type="cellIs" dxfId="419" priority="95" operator="lessThan">
      <formula>I112</formula>
    </cfRule>
    <cfRule type="cellIs" dxfId="418" priority="96" operator="greaterThanOrEqual">
      <formula>I112</formula>
    </cfRule>
  </conditionalFormatting>
  <conditionalFormatting sqref="I112:I120">
    <cfRule type="cellIs" dxfId="417" priority="93" operator="lessThan">
      <formula>G112</formula>
    </cfRule>
    <cfRule type="cellIs" dxfId="416" priority="94" operator="greaterThanOrEqual">
      <formula>G112</formula>
    </cfRule>
  </conditionalFormatting>
  <conditionalFormatting sqref="BT89:BT97">
    <cfRule type="cellIs" dxfId="415" priority="19" operator="lessThan">
      <formula>BV89</formula>
    </cfRule>
    <cfRule type="cellIs" dxfId="414" priority="20" operator="greaterThanOrEqual">
      <formula>BV89</formula>
    </cfRule>
  </conditionalFormatting>
  <conditionalFormatting sqref="BV89:BV97">
    <cfRule type="cellIs" dxfId="413" priority="17" operator="lessThan">
      <formula>BT89</formula>
    </cfRule>
    <cfRule type="cellIs" dxfId="412" priority="18" operator="greaterThanOrEqual">
      <formula>BT89</formula>
    </cfRule>
  </conditionalFormatting>
  <conditionalFormatting sqref="BT134:BT146">
    <cfRule type="cellIs" dxfId="411" priority="27" operator="lessThan">
      <formula>BV134</formula>
    </cfRule>
    <cfRule type="cellIs" dxfId="410" priority="28" operator="greaterThanOrEqual">
      <formula>BV134</formula>
    </cfRule>
  </conditionalFormatting>
  <conditionalFormatting sqref="BV134:BV146">
    <cfRule type="cellIs" dxfId="409" priority="25" operator="lessThan">
      <formula>BT134</formula>
    </cfRule>
    <cfRule type="cellIs" dxfId="408" priority="26" operator="greaterThanOrEqual">
      <formula>BT134</formula>
    </cfRule>
  </conditionalFormatting>
  <conditionalFormatting sqref="G134:G142">
    <cfRule type="cellIs" dxfId="407" priority="83" operator="lessThan">
      <formula>I134</formula>
    </cfRule>
    <cfRule type="cellIs" dxfId="406" priority="84" operator="greaterThanOrEqual">
      <formula>I134</formula>
    </cfRule>
  </conditionalFormatting>
  <conditionalFormatting sqref="I134:I142">
    <cfRule type="cellIs" dxfId="405" priority="81" operator="lessThan">
      <formula>G134</formula>
    </cfRule>
    <cfRule type="cellIs" dxfId="404" priority="82" operator="greaterThanOrEqual">
      <formula>G134</formula>
    </cfRule>
  </conditionalFormatting>
  <conditionalFormatting sqref="BT70:BT77">
    <cfRule type="cellIs" dxfId="403" priority="7" operator="lessThan">
      <formula>BV70</formula>
    </cfRule>
    <cfRule type="cellIs" dxfId="402" priority="8" operator="greaterThanOrEqual">
      <formula>BV70</formula>
    </cfRule>
  </conditionalFormatting>
  <conditionalFormatting sqref="BV70:BV77">
    <cfRule type="cellIs" dxfId="401" priority="5" operator="lessThan">
      <formula>BT70</formula>
    </cfRule>
    <cfRule type="cellIs" dxfId="400" priority="6" operator="greaterThanOrEqual">
      <formula>BT70</formula>
    </cfRule>
  </conditionalFormatting>
  <conditionalFormatting sqref="CG89:CG100">
    <cfRule type="cellIs" dxfId="399" priority="15" operator="lessThan">
      <formula>CI89</formula>
    </cfRule>
    <cfRule type="cellIs" dxfId="398" priority="16" operator="greaterThanOrEqual">
      <formula>CI89</formula>
    </cfRule>
  </conditionalFormatting>
  <conditionalFormatting sqref="CI89:CI100">
    <cfRule type="cellIs" dxfId="397" priority="13" operator="lessThan">
      <formula>CG89</formula>
    </cfRule>
    <cfRule type="cellIs" dxfId="396" priority="14" operator="greaterThanOrEqual">
      <formula>CG89</formula>
    </cfRule>
  </conditionalFormatting>
  <conditionalFormatting sqref="T89:T97">
    <cfRule type="cellIs" dxfId="395" priority="71" operator="lessThan">
      <formula>V89</formula>
    </cfRule>
    <cfRule type="cellIs" dxfId="394" priority="72" operator="greaterThanOrEqual">
      <formula>V89</formula>
    </cfRule>
  </conditionalFormatting>
  <conditionalFormatting sqref="V89:V97">
    <cfRule type="cellIs" dxfId="393" priority="69" operator="lessThan">
      <formula>T89</formula>
    </cfRule>
    <cfRule type="cellIs" dxfId="392" priority="70" operator="greaterThanOrEqual">
      <formula>T89</formula>
    </cfRule>
  </conditionalFormatting>
  <conditionalFormatting sqref="T112:T118">
    <cfRule type="cellIs" dxfId="391" priority="67" operator="lessThan">
      <formula>V112</formula>
    </cfRule>
    <cfRule type="cellIs" dxfId="390" priority="68" operator="greaterThanOrEqual">
      <formula>V112</formula>
    </cfRule>
  </conditionalFormatting>
  <conditionalFormatting sqref="V112:V118">
    <cfRule type="cellIs" dxfId="389" priority="65" operator="lessThan">
      <formula>T112</formula>
    </cfRule>
    <cfRule type="cellIs" dxfId="388" priority="66" operator="greaterThanOrEqual">
      <formula>T112</formula>
    </cfRule>
  </conditionalFormatting>
  <conditionalFormatting sqref="T134:T142">
    <cfRule type="cellIs" dxfId="387" priority="63" operator="lessThan">
      <formula>V134</formula>
    </cfRule>
    <cfRule type="cellIs" dxfId="386" priority="64" operator="greaterThanOrEqual">
      <formula>V134</formula>
    </cfRule>
  </conditionalFormatting>
  <conditionalFormatting sqref="V134:V142">
    <cfRule type="cellIs" dxfId="385" priority="61" operator="lessThan">
      <formula>T134</formula>
    </cfRule>
    <cfRule type="cellIs" dxfId="384" priority="62" operator="greaterThanOrEqual">
      <formula>T134</formula>
    </cfRule>
  </conditionalFormatting>
  <conditionalFormatting sqref="AG89:AG97">
    <cfRule type="cellIs" dxfId="383" priority="59" operator="lessThan">
      <formula>AI89</formula>
    </cfRule>
    <cfRule type="cellIs" dxfId="382" priority="60" operator="greaterThanOrEqual">
      <formula>AI89</formula>
    </cfRule>
  </conditionalFormatting>
  <conditionalFormatting sqref="AI89:AI97">
    <cfRule type="cellIs" dxfId="381" priority="57" operator="lessThan">
      <formula>AG89</formula>
    </cfRule>
    <cfRule type="cellIs" dxfId="380" priority="58" operator="greaterThanOrEqual">
      <formula>AG89</formula>
    </cfRule>
  </conditionalFormatting>
  <conditionalFormatting sqref="AG112:AG121">
    <cfRule type="cellIs" dxfId="379" priority="55" operator="lessThan">
      <formula>AI112</formula>
    </cfRule>
    <cfRule type="cellIs" dxfId="378" priority="56" operator="greaterThanOrEqual">
      <formula>AI112</formula>
    </cfRule>
  </conditionalFormatting>
  <conditionalFormatting sqref="AI112:AI121">
    <cfRule type="cellIs" dxfId="377" priority="53" operator="lessThan">
      <formula>AG112</formula>
    </cfRule>
    <cfRule type="cellIs" dxfId="376" priority="54" operator="greaterThanOrEqual">
      <formula>AG112</formula>
    </cfRule>
  </conditionalFormatting>
  <conditionalFormatting sqref="AG134:AG140">
    <cfRule type="cellIs" dxfId="375" priority="51" operator="lessThan">
      <formula>AI134</formula>
    </cfRule>
    <cfRule type="cellIs" dxfId="374" priority="52" operator="greaterThanOrEqual">
      <formula>AI134</formula>
    </cfRule>
  </conditionalFormatting>
  <conditionalFormatting sqref="AI134:AI140">
    <cfRule type="cellIs" dxfId="373" priority="49" operator="lessThan">
      <formula>AG134</formula>
    </cfRule>
    <cfRule type="cellIs" dxfId="372" priority="50" operator="greaterThanOrEqual">
      <formula>AG134</formula>
    </cfRule>
  </conditionalFormatting>
  <conditionalFormatting sqref="AT89:AT98">
    <cfRule type="cellIs" dxfId="371" priority="47" operator="lessThan">
      <formula>AV89</formula>
    </cfRule>
    <cfRule type="cellIs" dxfId="370" priority="48" operator="greaterThanOrEqual">
      <formula>AV89</formula>
    </cfRule>
  </conditionalFormatting>
  <conditionalFormatting sqref="AV89:AV98">
    <cfRule type="cellIs" dxfId="369" priority="45" operator="lessThan">
      <formula>AT89</formula>
    </cfRule>
    <cfRule type="cellIs" dxfId="368" priority="46" operator="greaterThanOrEqual">
      <formula>AT89</formula>
    </cfRule>
  </conditionalFormatting>
  <conditionalFormatting sqref="AT112:AT118">
    <cfRule type="cellIs" dxfId="367" priority="43" operator="lessThan">
      <formula>AV112</formula>
    </cfRule>
    <cfRule type="cellIs" dxfId="366" priority="44" operator="greaterThanOrEqual">
      <formula>AV112</formula>
    </cfRule>
  </conditionalFormatting>
  <conditionalFormatting sqref="AV112:AV118">
    <cfRule type="cellIs" dxfId="365" priority="41" operator="lessThan">
      <formula>AT112</formula>
    </cfRule>
    <cfRule type="cellIs" dxfId="364" priority="42" operator="greaterThanOrEqual">
      <formula>AT112</formula>
    </cfRule>
  </conditionalFormatting>
  <conditionalFormatting sqref="BG112:BG120">
    <cfRule type="cellIs" dxfId="363" priority="35" operator="lessThan">
      <formula>BI112</formula>
    </cfRule>
    <cfRule type="cellIs" dxfId="362" priority="36" operator="greaterThanOrEqual">
      <formula>BI112</formula>
    </cfRule>
  </conditionalFormatting>
  <conditionalFormatting sqref="BI112:BI120">
    <cfRule type="cellIs" dxfId="361" priority="33" operator="lessThan">
      <formula>BG112</formula>
    </cfRule>
    <cfRule type="cellIs" dxfId="360" priority="34" operator="greaterThanOrEqual">
      <formula>BG112</formula>
    </cfRule>
  </conditionalFormatting>
  <conditionalFormatting sqref="CG112:CG122">
    <cfRule type="cellIs" dxfId="359" priority="23" operator="lessThan">
      <formula>CI112</formula>
    </cfRule>
    <cfRule type="cellIs" dxfId="358" priority="24" operator="greaterThanOrEqual">
      <formula>CI112</formula>
    </cfRule>
  </conditionalFormatting>
  <conditionalFormatting sqref="CI112:CI122">
    <cfRule type="cellIs" dxfId="357" priority="21" operator="lessThan">
      <formula>CG112</formula>
    </cfRule>
    <cfRule type="cellIs" dxfId="356" priority="22" operator="greaterThanOrEqual">
      <formula>CG112</formula>
    </cfRule>
  </conditionalFormatting>
  <conditionalFormatting sqref="BG70:BG75">
    <cfRule type="cellIs" dxfId="355" priority="11" operator="lessThan">
      <formula>BI70</formula>
    </cfRule>
    <cfRule type="cellIs" dxfId="354" priority="12" operator="greaterThanOrEqual">
      <formula>BI70</formula>
    </cfRule>
  </conditionalFormatting>
  <conditionalFormatting sqref="BI70:BI75">
    <cfRule type="cellIs" dxfId="353" priority="9" operator="lessThan">
      <formula>BG70</formula>
    </cfRule>
    <cfRule type="cellIs" dxfId="352" priority="10" operator="greaterThanOrEqual">
      <formula>BG70</formula>
    </cfRule>
  </conditionalFormatting>
  <conditionalFormatting sqref="CG70:CG77">
    <cfRule type="cellIs" dxfId="351" priority="3" operator="lessThan">
      <formula>CI70</formula>
    </cfRule>
    <cfRule type="cellIs" dxfId="350" priority="4" operator="greaterThanOrEqual">
      <formula>CI70</formula>
    </cfRule>
  </conditionalFormatting>
  <conditionalFormatting sqref="CI70:CI77">
    <cfRule type="cellIs" dxfId="349" priority="1" operator="lessThan">
      <formula>CG70</formula>
    </cfRule>
    <cfRule type="cellIs" dxfId="348" priority="2" operator="greaterThanOrEqual">
      <formula>CG70</formula>
    </cfRule>
  </conditionalFormatting>
  <pageMargins left="0.25" right="0.25" top="0.75" bottom="0.75" header="0.3" footer="0.3"/>
  <pageSetup paperSize="9" scale="44" orientation="landscape" horizontalDpi="4294967293" verticalDpi="0" r:id="rId1"/>
  <rowBreaks count="2" manualBreakCount="2">
    <brk id="66" max="16383" man="1"/>
    <brk id="130" max="16383" man="1"/>
  </rowBreaks>
  <colBreaks count="2" manualBreakCount="2">
    <brk id="40" max="1048575" man="1"/>
    <brk id="79" max="1048575" man="1"/>
  </colBreaks>
  <ignoredErrors>
    <ignoredError sqref="P14:AZ18 C35:M39 G24:I30 P35:AZ36 P24:AB28 AG24:AI28 AT24:AV33 P60:AZ64 AT45:AV51 T45:V51 AA45:AO51 C60:M66 G45:I52 C79:M81 G70:I75 P79:AZ80 T70:V73 AA70:AB75 AG70:AI75 AN70:AZ78 P22:AZ22 C43:M43 P43:AZ43 P68:AZ68 AN67:AZ67 G68:M68 P29:AA34 AN24:AO33 AA57:AV57 AA76:AA78 AA52:AN56 C58:M58 P58:AV58 AY57:AZ57 AY58:AZ58 AN34 P39:AZ39 P38:AX38 AZ38 P41:AZ41 P40:AX40 AZ40 P37:AX37 AZ37 P20:AZ20 P19:AL19 AN19:AZ19 C41:L41 C40:L40 P66:AZ66 P65:X65 Z65:AZ65 P81:Y81 AA81:AZ81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BM69"/>
  <sheetViews>
    <sheetView zoomScale="70" zoomScaleNormal="70" zoomScaleSheetLayoutView="50" workbookViewId="0">
      <selection activeCell="A2" sqref="A2"/>
    </sheetView>
  </sheetViews>
  <sheetFormatPr baseColWidth="10" defaultRowHeight="15"/>
  <cols>
    <col min="1" max="1" width="15.85546875" style="581" bestFit="1" customWidth="1"/>
    <col min="2" max="4" width="6.7109375" style="582" customWidth="1"/>
    <col min="5" max="7" width="6.7109375" style="583" customWidth="1"/>
    <col min="8" max="12" width="6.7109375" style="502" customWidth="1"/>
    <col min="13" max="13" width="4.7109375" style="111" customWidth="1"/>
    <col min="14" max="14" width="15.85546875" style="581" bestFit="1" customWidth="1"/>
    <col min="15" max="17" width="6.7109375" style="582" customWidth="1"/>
    <col min="18" max="18" width="6.7109375" style="583" customWidth="1"/>
    <col min="19" max="19" width="6.7109375" style="502" customWidth="1"/>
    <col min="20" max="20" width="6.7109375" style="583" customWidth="1"/>
    <col min="21" max="25" width="6.7109375" style="502" customWidth="1"/>
    <col min="26" max="26" width="4.7109375" style="111" customWidth="1"/>
    <col min="27" max="27" width="15.85546875" style="581" bestFit="1" customWidth="1"/>
    <col min="28" max="30" width="6.7109375" style="582" customWidth="1"/>
    <col min="31" max="33" width="6.7109375" style="583" customWidth="1"/>
    <col min="34" max="38" width="6.7109375" style="502" customWidth="1"/>
    <col min="39" max="39" width="4.7109375" style="111" customWidth="1"/>
    <col min="40" max="40" width="15.85546875" style="581" bestFit="1" customWidth="1"/>
    <col min="41" max="43" width="6.7109375" style="582" customWidth="1"/>
    <col min="44" max="44" width="6.7109375" style="583" customWidth="1"/>
    <col min="45" max="45" width="6.7109375" style="502" customWidth="1"/>
    <col min="46" max="46" width="6.7109375" style="583" customWidth="1"/>
    <col min="47" max="51" width="6.7109375" style="502" customWidth="1"/>
    <col min="52" max="52" width="4.7109375" style="111" customWidth="1"/>
    <col min="53" max="53" width="16.7109375" style="502" bestFit="1" customWidth="1"/>
    <col min="54" max="58" width="6.7109375" style="502" customWidth="1"/>
    <col min="59" max="59" width="6.7109375" style="583" customWidth="1"/>
    <col min="60" max="64" width="6.7109375" style="502" customWidth="1"/>
    <col min="65" max="65" width="4.7109375" style="502" customWidth="1"/>
    <col min="66" max="16384" width="11.42578125" style="502"/>
  </cols>
  <sheetData>
    <row r="1" spans="1:59" s="111" customFormat="1">
      <c r="A1" s="109"/>
      <c r="B1" s="110"/>
      <c r="C1" s="580"/>
      <c r="D1" s="110"/>
      <c r="E1" s="580"/>
      <c r="F1" s="580"/>
      <c r="G1" s="580"/>
      <c r="N1" s="109"/>
      <c r="O1" s="110"/>
      <c r="P1" s="580"/>
      <c r="Q1" s="110"/>
      <c r="R1" s="580"/>
      <c r="T1" s="580"/>
      <c r="AA1" s="109"/>
      <c r="AB1" s="110"/>
      <c r="AC1" s="580"/>
      <c r="AD1" s="110"/>
      <c r="AE1" s="580"/>
      <c r="AF1" s="580"/>
      <c r="AG1" s="580"/>
      <c r="AN1" s="109"/>
      <c r="AO1" s="110"/>
      <c r="AP1" s="580"/>
      <c r="AQ1" s="110"/>
      <c r="AR1" s="580"/>
      <c r="AT1" s="580"/>
      <c r="BG1" s="580"/>
    </row>
    <row r="2" spans="1:59">
      <c r="B2" s="1541" t="s">
        <v>97</v>
      </c>
      <c r="C2" s="1541"/>
      <c r="D2" s="1541"/>
      <c r="E2" s="1541"/>
      <c r="I2" s="1545" t="s">
        <v>130</v>
      </c>
      <c r="J2" s="1545"/>
      <c r="K2" s="1545"/>
      <c r="L2" s="1545"/>
      <c r="O2" s="1545" t="s">
        <v>130</v>
      </c>
      <c r="P2" s="1545"/>
      <c r="Q2" s="1545"/>
      <c r="R2" s="1545"/>
      <c r="V2" s="1541" t="s">
        <v>97</v>
      </c>
      <c r="W2" s="1541"/>
      <c r="X2" s="1541"/>
      <c r="Y2" s="1541"/>
      <c r="AB2" s="1545" t="s">
        <v>97</v>
      </c>
      <c r="AC2" s="1545"/>
      <c r="AD2" s="1545"/>
      <c r="AE2" s="1545"/>
      <c r="AI2" s="1541" t="s">
        <v>130</v>
      </c>
      <c r="AJ2" s="1541"/>
      <c r="AK2" s="1541"/>
      <c r="AL2" s="1541"/>
      <c r="AO2" s="1545" t="s">
        <v>130</v>
      </c>
      <c r="AP2" s="1545"/>
      <c r="AQ2" s="1545"/>
      <c r="AR2" s="1545"/>
      <c r="AV2" s="1541" t="s">
        <v>97</v>
      </c>
      <c r="AW2" s="1541"/>
      <c r="AX2" s="1541"/>
      <c r="AY2" s="1541"/>
    </row>
    <row r="3" spans="1:59" ht="15.75">
      <c r="B3" s="585">
        <v>1</v>
      </c>
      <c r="C3" s="586">
        <v>2</v>
      </c>
      <c r="D3" s="587">
        <v>3</v>
      </c>
      <c r="E3" s="873">
        <v>4</v>
      </c>
      <c r="F3" s="113">
        <f>IF(COUNTIF(F5:F16,"&gt;37")=0,0,COUNTIF(F5:F16,"&gt;37")-1)</f>
        <v>0</v>
      </c>
      <c r="H3" s="113">
        <f>IF(COUNTIF(H5:H16,"&gt;37")=0,0,COUNTIF(H5:H16,"&gt;37")-1)</f>
        <v>1</v>
      </c>
      <c r="I3" s="921">
        <v>1</v>
      </c>
      <c r="J3" s="922">
        <v>2</v>
      </c>
      <c r="K3" s="923">
        <v>3</v>
      </c>
      <c r="L3" s="924">
        <v>4</v>
      </c>
      <c r="O3" s="921">
        <v>1</v>
      </c>
      <c r="P3" s="922">
        <v>2</v>
      </c>
      <c r="Q3" s="923">
        <v>3</v>
      </c>
      <c r="R3" s="924">
        <v>4</v>
      </c>
      <c r="S3" s="113">
        <f>IF(COUNTIF(S5:S12,"&gt;37")=0,0,COUNTIF(S5:S12,"&gt;37")-1)</f>
        <v>3</v>
      </c>
      <c r="U3" s="113">
        <f>IF(COUNTIF(U5:U12,"&gt;37")=0,0,COUNTIF(U5:U12,"&gt;37")-1)</f>
        <v>0</v>
      </c>
      <c r="V3" s="585">
        <v>1</v>
      </c>
      <c r="W3" s="586">
        <v>2</v>
      </c>
      <c r="X3" s="587">
        <v>3</v>
      </c>
      <c r="Y3" s="873">
        <v>4</v>
      </c>
      <c r="AB3" s="921">
        <v>1</v>
      </c>
      <c r="AC3" s="922">
        <v>2</v>
      </c>
      <c r="AD3" s="923">
        <v>3</v>
      </c>
      <c r="AE3" s="924">
        <v>4</v>
      </c>
      <c r="AF3" s="113">
        <f>IF(COUNTIF(AF5:AF16,"&gt;37")=0,0,COUNTIF(AF5:AF16,"&gt;37")-1)</f>
        <v>3</v>
      </c>
      <c r="AH3" s="918">
        <v>4</v>
      </c>
      <c r="AI3" s="585">
        <v>1</v>
      </c>
      <c r="AJ3" s="586">
        <v>2</v>
      </c>
      <c r="AK3" s="587">
        <v>3</v>
      </c>
      <c r="AL3" s="873">
        <v>4</v>
      </c>
      <c r="AO3" s="921">
        <v>1</v>
      </c>
      <c r="AP3" s="922">
        <v>2</v>
      </c>
      <c r="AQ3" s="923">
        <v>3</v>
      </c>
      <c r="AR3" s="924">
        <v>4</v>
      </c>
      <c r="AS3" s="113">
        <f>IF(COUNTIF(AS5:AS15,"&gt;37")=0,0,COUNTIF(AS5:AS15,"&gt;37")-1)</f>
        <v>3</v>
      </c>
      <c r="AU3" s="113">
        <f>IF(COUNTIF(AU5:AU15,"&gt;37")=0,0,COUNTIF(AU5:AU15,"&gt;37")-1)</f>
        <v>2</v>
      </c>
      <c r="AV3" s="585">
        <v>1</v>
      </c>
      <c r="AW3" s="586">
        <v>2</v>
      </c>
      <c r="AX3" s="587">
        <v>3</v>
      </c>
      <c r="AY3" s="873">
        <v>4</v>
      </c>
    </row>
    <row r="4" spans="1:59" s="596" customFormat="1" ht="57">
      <c r="A4" s="591"/>
      <c r="B4" s="925" t="s">
        <v>0</v>
      </c>
      <c r="C4" s="926" t="s">
        <v>56</v>
      </c>
      <c r="D4" s="592" t="s">
        <v>1</v>
      </c>
      <c r="E4" s="927" t="s">
        <v>53</v>
      </c>
      <c r="F4" s="928"/>
      <c r="G4" s="642"/>
      <c r="I4" s="929" t="s">
        <v>99</v>
      </c>
      <c r="J4" s="930" t="s">
        <v>100</v>
      </c>
      <c r="K4" s="930" t="s">
        <v>101</v>
      </c>
      <c r="L4" s="931" t="s">
        <v>102</v>
      </c>
      <c r="M4" s="641"/>
      <c r="N4" s="591"/>
      <c r="O4" s="929" t="s">
        <v>99</v>
      </c>
      <c r="P4" s="930" t="s">
        <v>100</v>
      </c>
      <c r="Q4" s="930" t="s">
        <v>101</v>
      </c>
      <c r="R4" s="931" t="s">
        <v>102</v>
      </c>
      <c r="S4" s="593"/>
      <c r="T4" s="642"/>
      <c r="U4" s="593"/>
      <c r="V4" s="925" t="s">
        <v>53</v>
      </c>
      <c r="W4" s="925" t="s">
        <v>0</v>
      </c>
      <c r="X4" s="926" t="s">
        <v>56</v>
      </c>
      <c r="Y4" s="592" t="s">
        <v>1</v>
      </c>
      <c r="Z4" s="641"/>
      <c r="AA4" s="591"/>
      <c r="AB4" s="929" t="s">
        <v>0</v>
      </c>
      <c r="AC4" s="930" t="s">
        <v>56</v>
      </c>
      <c r="AD4" s="930" t="s">
        <v>1</v>
      </c>
      <c r="AE4" s="931" t="s">
        <v>53</v>
      </c>
      <c r="AF4" s="928"/>
      <c r="AG4" s="642"/>
      <c r="AI4" s="925" t="s">
        <v>99</v>
      </c>
      <c r="AJ4" s="925" t="s">
        <v>100</v>
      </c>
      <c r="AK4" s="926" t="s">
        <v>101</v>
      </c>
      <c r="AL4" s="592" t="s">
        <v>102</v>
      </c>
      <c r="AM4" s="641"/>
      <c r="AN4" s="591"/>
      <c r="AO4" s="929" t="s">
        <v>99</v>
      </c>
      <c r="AP4" s="930" t="s">
        <v>100</v>
      </c>
      <c r="AQ4" s="930" t="s">
        <v>101</v>
      </c>
      <c r="AR4" s="931" t="s">
        <v>102</v>
      </c>
      <c r="AS4" s="593"/>
      <c r="AT4" s="642"/>
      <c r="AU4" s="593"/>
      <c r="AV4" s="925" t="s">
        <v>53</v>
      </c>
      <c r="AW4" s="925" t="s">
        <v>0</v>
      </c>
      <c r="AX4" s="926" t="s">
        <v>56</v>
      </c>
      <c r="AY4" s="592" t="s">
        <v>1</v>
      </c>
      <c r="AZ4" s="641"/>
      <c r="BG4" s="629"/>
    </row>
    <row r="5" spans="1:59" ht="15.75">
      <c r="A5" s="118">
        <v>1</v>
      </c>
      <c r="B5" s="108">
        <v>11</v>
      </c>
      <c r="C5" s="117"/>
      <c r="D5" s="117"/>
      <c r="E5" s="119"/>
      <c r="F5" s="120">
        <f>SUM($B$5:E5)</f>
        <v>11</v>
      </c>
      <c r="G5" s="595">
        <f>F5-H5</f>
        <v>4</v>
      </c>
      <c r="H5" s="120">
        <f>SUM($I$5:L5)</f>
        <v>7</v>
      </c>
      <c r="I5" s="121">
        <v>7</v>
      </c>
      <c r="J5" s="117"/>
      <c r="K5" s="117"/>
      <c r="L5" s="107"/>
      <c r="N5" s="118">
        <v>1</v>
      </c>
      <c r="O5" s="108">
        <v>10</v>
      </c>
      <c r="P5" s="117"/>
      <c r="Q5" s="117"/>
      <c r="R5" s="119"/>
      <c r="S5" s="120">
        <f>SUM($O$5:R5)</f>
        <v>10</v>
      </c>
      <c r="T5" s="595">
        <f>S5-U5</f>
        <v>2</v>
      </c>
      <c r="U5" s="120">
        <f>SUM($V$5:Y5)</f>
        <v>8</v>
      </c>
      <c r="V5" s="121">
        <v>8</v>
      </c>
      <c r="W5" s="117"/>
      <c r="X5" s="117"/>
      <c r="Y5" s="107"/>
      <c r="AA5" s="118">
        <v>1</v>
      </c>
      <c r="AB5" s="108">
        <v>9</v>
      </c>
      <c r="AC5" s="117"/>
      <c r="AD5" s="117"/>
      <c r="AE5" s="119"/>
      <c r="AF5" s="120">
        <f>SUM($AB$5:AE5)</f>
        <v>9</v>
      </c>
      <c r="AG5" s="595">
        <f>AF5-AH5</f>
        <v>1</v>
      </c>
      <c r="AH5" s="120">
        <f>SUM($AI$5:AL5)</f>
        <v>8</v>
      </c>
      <c r="AI5" s="121">
        <v>8</v>
      </c>
      <c r="AJ5" s="117"/>
      <c r="AK5" s="117"/>
      <c r="AL5" s="107"/>
      <c r="AN5" s="118">
        <v>1</v>
      </c>
      <c r="AO5" s="108">
        <v>12</v>
      </c>
      <c r="AP5" s="117"/>
      <c r="AQ5" s="117"/>
      <c r="AR5" s="119"/>
      <c r="AS5" s="120">
        <f>SUM($AO$5:AR5)</f>
        <v>12</v>
      </c>
      <c r="AT5" s="595">
        <f>AS5-AU5</f>
        <v>7</v>
      </c>
      <c r="AU5" s="120">
        <f>SUM($AV$5:AY5)</f>
        <v>5</v>
      </c>
      <c r="AV5" s="121">
        <v>5</v>
      </c>
      <c r="AW5" s="117"/>
      <c r="AX5" s="117"/>
      <c r="AY5" s="107"/>
    </row>
    <row r="6" spans="1:59" ht="15.75">
      <c r="A6" s="122">
        <v>2</v>
      </c>
      <c r="B6" s="117"/>
      <c r="C6" s="108">
        <v>2</v>
      </c>
      <c r="D6" s="117"/>
      <c r="E6" s="114"/>
      <c r="F6" s="120">
        <f>SUM($B$5:E6)</f>
        <v>13</v>
      </c>
      <c r="G6" s="595">
        <f t="shared" ref="G6:G12" si="0">F6-H6</f>
        <v>0</v>
      </c>
      <c r="H6" s="120">
        <f>SUM($I$5:L6)</f>
        <v>13</v>
      </c>
      <c r="I6" s="123"/>
      <c r="J6" s="108">
        <v>6</v>
      </c>
      <c r="K6" s="117"/>
      <c r="L6" s="117"/>
      <c r="N6" s="122">
        <v>2</v>
      </c>
      <c r="O6" s="117"/>
      <c r="P6" s="108">
        <v>9</v>
      </c>
      <c r="Q6" s="117"/>
      <c r="R6" s="114"/>
      <c r="S6" s="120">
        <f>SUM($O$5:R6)</f>
        <v>19</v>
      </c>
      <c r="T6" s="595">
        <f t="shared" ref="T6:T11" si="1">S6-U6</f>
        <v>3</v>
      </c>
      <c r="U6" s="120">
        <f>SUM($V$5:Y6)</f>
        <v>16</v>
      </c>
      <c r="V6" s="123"/>
      <c r="W6" s="108">
        <v>8</v>
      </c>
      <c r="X6" s="117"/>
      <c r="Y6" s="117"/>
      <c r="AA6" s="122">
        <v>2</v>
      </c>
      <c r="AB6" s="117"/>
      <c r="AC6" s="108">
        <v>8</v>
      </c>
      <c r="AD6" s="117"/>
      <c r="AE6" s="114"/>
      <c r="AF6" s="120">
        <f>SUM($AB$5:AE6)</f>
        <v>17</v>
      </c>
      <c r="AG6" s="595">
        <f t="shared" ref="AG6:AG16" si="2">AF6-AH6</f>
        <v>3</v>
      </c>
      <c r="AH6" s="120">
        <f>SUM($AI$5:AL6)</f>
        <v>14</v>
      </c>
      <c r="AI6" s="123"/>
      <c r="AJ6" s="108">
        <v>6</v>
      </c>
      <c r="AK6" s="117"/>
      <c r="AL6" s="117"/>
      <c r="AN6" s="122">
        <v>2</v>
      </c>
      <c r="AO6" s="117"/>
      <c r="AP6" s="108">
        <v>5</v>
      </c>
      <c r="AQ6" s="117"/>
      <c r="AR6" s="114"/>
      <c r="AS6" s="120">
        <f>SUM($AO$5:AR6)</f>
        <v>17</v>
      </c>
      <c r="AT6" s="595">
        <f t="shared" ref="AT6:AT15" si="3">AS6-AU6</f>
        <v>12</v>
      </c>
      <c r="AU6" s="120">
        <f>SUM($AV$5:AY6)</f>
        <v>5</v>
      </c>
      <c r="AV6" s="123"/>
      <c r="AW6" s="108" t="s">
        <v>2</v>
      </c>
      <c r="AX6" s="117"/>
      <c r="AY6" s="117"/>
    </row>
    <row r="7" spans="1:59" ht="15.75">
      <c r="A7" s="122">
        <v>3</v>
      </c>
      <c r="B7" s="108"/>
      <c r="C7" s="117"/>
      <c r="D7" s="117">
        <v>4</v>
      </c>
      <c r="E7" s="119"/>
      <c r="F7" s="120">
        <f>SUM($B$5:E7)</f>
        <v>17</v>
      </c>
      <c r="G7" s="595">
        <f t="shared" si="0"/>
        <v>0</v>
      </c>
      <c r="H7" s="120">
        <f>SUM($I$5:L7)</f>
        <v>17</v>
      </c>
      <c r="I7" s="121"/>
      <c r="J7" s="117"/>
      <c r="K7" s="117">
        <v>4</v>
      </c>
      <c r="L7" s="107"/>
      <c r="N7" s="122">
        <v>3</v>
      </c>
      <c r="O7" s="108"/>
      <c r="P7" s="117"/>
      <c r="Q7" s="117">
        <v>8</v>
      </c>
      <c r="R7" s="119"/>
      <c r="S7" s="120">
        <f>SUM($O$5:R7)</f>
        <v>27</v>
      </c>
      <c r="T7" s="595">
        <f t="shared" si="1"/>
        <v>6</v>
      </c>
      <c r="U7" s="120">
        <f>SUM($V$5:Y7)</f>
        <v>21</v>
      </c>
      <c r="V7" s="121"/>
      <c r="W7" s="117"/>
      <c r="X7" s="117">
        <v>5</v>
      </c>
      <c r="Y7" s="107"/>
      <c r="AA7" s="122">
        <v>3</v>
      </c>
      <c r="AB7" s="108"/>
      <c r="AC7" s="117"/>
      <c r="AD7" s="117">
        <v>6</v>
      </c>
      <c r="AE7" s="119"/>
      <c r="AF7" s="120">
        <f>SUM($AB$5:AE7)</f>
        <v>23</v>
      </c>
      <c r="AG7" s="595">
        <f t="shared" si="2"/>
        <v>1</v>
      </c>
      <c r="AH7" s="120">
        <f>SUM($AI$5:AL7)</f>
        <v>22</v>
      </c>
      <c r="AI7" s="121"/>
      <c r="AJ7" s="117"/>
      <c r="AK7" s="117">
        <v>8</v>
      </c>
      <c r="AL7" s="107"/>
      <c r="AN7" s="122">
        <v>3</v>
      </c>
      <c r="AO7" s="108"/>
      <c r="AP7" s="117"/>
      <c r="AQ7" s="117">
        <v>2</v>
      </c>
      <c r="AR7" s="119"/>
      <c r="AS7" s="120">
        <f>SUM($AO$5:AR7)</f>
        <v>19</v>
      </c>
      <c r="AT7" s="595">
        <f t="shared" si="3"/>
        <v>10</v>
      </c>
      <c r="AU7" s="120">
        <f>SUM($AV$5:AY7)</f>
        <v>9</v>
      </c>
      <c r="AV7" s="121"/>
      <c r="AW7" s="117"/>
      <c r="AX7" s="117">
        <v>4</v>
      </c>
      <c r="AY7" s="107"/>
    </row>
    <row r="8" spans="1:59" ht="15.75">
      <c r="A8" s="122">
        <v>4</v>
      </c>
      <c r="B8" s="117"/>
      <c r="C8" s="108"/>
      <c r="D8" s="117"/>
      <c r="E8" s="114">
        <v>8</v>
      </c>
      <c r="F8" s="120">
        <f>SUM($B$5:E8)</f>
        <v>25</v>
      </c>
      <c r="G8" s="595">
        <f t="shared" si="0"/>
        <v>-2</v>
      </c>
      <c r="H8" s="120">
        <f>SUM($I$5:L8)</f>
        <v>27</v>
      </c>
      <c r="I8" s="123"/>
      <c r="J8" s="108"/>
      <c r="K8" s="117"/>
      <c r="L8" s="117">
        <v>10</v>
      </c>
      <c r="N8" s="122">
        <v>4</v>
      </c>
      <c r="O8" s="117"/>
      <c r="P8" s="108"/>
      <c r="Q8" s="117"/>
      <c r="R8" s="114">
        <v>12</v>
      </c>
      <c r="S8" s="120">
        <f>SUM($O$5:R8)</f>
        <v>39</v>
      </c>
      <c r="T8" s="595">
        <f t="shared" si="1"/>
        <v>18</v>
      </c>
      <c r="U8" s="120">
        <f>SUM($V$5:Y8)</f>
        <v>21</v>
      </c>
      <c r="V8" s="123"/>
      <c r="W8" s="108"/>
      <c r="X8" s="117"/>
      <c r="Y8" s="117" t="s">
        <v>2</v>
      </c>
      <c r="AA8" s="122">
        <v>4</v>
      </c>
      <c r="AB8" s="117"/>
      <c r="AC8" s="108"/>
      <c r="AD8" s="117"/>
      <c r="AE8" s="114" t="s">
        <v>2</v>
      </c>
      <c r="AF8" s="120">
        <f>SUM($AB$5:AE8)</f>
        <v>23</v>
      </c>
      <c r="AG8" s="595">
        <f t="shared" si="2"/>
        <v>-1</v>
      </c>
      <c r="AH8" s="120">
        <f>SUM($AI$5:AL8)</f>
        <v>24</v>
      </c>
      <c r="AI8" s="123"/>
      <c r="AJ8" s="108"/>
      <c r="AK8" s="117"/>
      <c r="AL8" s="117">
        <v>2</v>
      </c>
      <c r="AN8" s="122">
        <v>4</v>
      </c>
      <c r="AO8" s="117"/>
      <c r="AP8" s="108"/>
      <c r="AQ8" s="117"/>
      <c r="AR8" s="114" t="s">
        <v>2</v>
      </c>
      <c r="AS8" s="120">
        <f>SUM($AO$5:AR8)</f>
        <v>19</v>
      </c>
      <c r="AT8" s="595">
        <f t="shared" si="3"/>
        <v>-1</v>
      </c>
      <c r="AU8" s="120">
        <f>SUM($AV$5:AY8)</f>
        <v>20</v>
      </c>
      <c r="AV8" s="123"/>
      <c r="AW8" s="108"/>
      <c r="AX8" s="117"/>
      <c r="AY8" s="117">
        <v>11</v>
      </c>
    </row>
    <row r="9" spans="1:59" ht="15.75">
      <c r="A9" s="122">
        <v>5</v>
      </c>
      <c r="B9" s="108">
        <v>10</v>
      </c>
      <c r="C9" s="117"/>
      <c r="D9" s="117"/>
      <c r="E9" s="119"/>
      <c r="F9" s="120">
        <f>SUM($B$5:E9)</f>
        <v>35</v>
      </c>
      <c r="G9" s="595">
        <f t="shared" si="0"/>
        <v>-2</v>
      </c>
      <c r="H9" s="120">
        <f>SUM($I$5:L9)</f>
        <v>37</v>
      </c>
      <c r="I9" s="121">
        <v>10</v>
      </c>
      <c r="J9" s="117"/>
      <c r="K9" s="117"/>
      <c r="L9" s="107"/>
      <c r="N9" s="122">
        <v>5</v>
      </c>
      <c r="O9" s="108" t="s">
        <v>2</v>
      </c>
      <c r="P9" s="117"/>
      <c r="Q9" s="117"/>
      <c r="R9" s="119"/>
      <c r="S9" s="120">
        <f>SUM($O$5:R9)</f>
        <v>39</v>
      </c>
      <c r="T9" s="595">
        <f t="shared" si="1"/>
        <v>15</v>
      </c>
      <c r="U9" s="120">
        <f>SUM($V$5:Y9)</f>
        <v>24</v>
      </c>
      <c r="V9" s="121">
        <v>3</v>
      </c>
      <c r="W9" s="117"/>
      <c r="X9" s="117"/>
      <c r="Y9" s="107"/>
      <c r="AA9" s="122">
        <v>5</v>
      </c>
      <c r="AB9" s="108">
        <v>2</v>
      </c>
      <c r="AC9" s="117"/>
      <c r="AD9" s="117"/>
      <c r="AE9" s="119"/>
      <c r="AF9" s="120">
        <f>SUM($AB$5:AE9)</f>
        <v>25</v>
      </c>
      <c r="AG9" s="595">
        <f t="shared" si="2"/>
        <v>1</v>
      </c>
      <c r="AH9" s="120">
        <f>SUM($AI$5:AL9)</f>
        <v>24</v>
      </c>
      <c r="AI9" s="121" t="s">
        <v>2</v>
      </c>
      <c r="AJ9" s="117"/>
      <c r="AK9" s="117"/>
      <c r="AL9" s="107"/>
      <c r="AN9" s="122">
        <v>5</v>
      </c>
      <c r="AO9" s="108">
        <v>7</v>
      </c>
      <c r="AP9" s="117"/>
      <c r="AQ9" s="117"/>
      <c r="AR9" s="119"/>
      <c r="AS9" s="120">
        <f>SUM($AO$5:AR9)</f>
        <v>26</v>
      </c>
      <c r="AT9" s="595">
        <f t="shared" si="3"/>
        <v>4</v>
      </c>
      <c r="AU9" s="120">
        <f>SUM($AV$5:AY9)</f>
        <v>22</v>
      </c>
      <c r="AV9" s="121">
        <v>2</v>
      </c>
      <c r="AW9" s="117"/>
      <c r="AX9" s="117"/>
      <c r="AY9" s="107"/>
    </row>
    <row r="10" spans="1:59" ht="15.75">
      <c r="A10" s="122">
        <v>6</v>
      </c>
      <c r="B10" s="117"/>
      <c r="C10" s="108" t="s">
        <v>2</v>
      </c>
      <c r="D10" s="117"/>
      <c r="E10" s="114"/>
      <c r="F10" s="120">
        <f>SUM($B$5:E10)</f>
        <v>35</v>
      </c>
      <c r="G10" s="595">
        <f t="shared" si="0"/>
        <v>-2</v>
      </c>
      <c r="H10" s="120">
        <f>SUM($I$5:L10)</f>
        <v>37</v>
      </c>
      <c r="I10" s="123"/>
      <c r="J10" s="108" t="s">
        <v>2</v>
      </c>
      <c r="K10" s="117"/>
      <c r="L10" s="117"/>
      <c r="N10" s="122">
        <v>6</v>
      </c>
      <c r="O10" s="117"/>
      <c r="P10" s="108">
        <v>2</v>
      </c>
      <c r="Q10" s="117"/>
      <c r="R10" s="114"/>
      <c r="S10" s="120">
        <f>SUM($O$5:R10)</f>
        <v>41</v>
      </c>
      <c r="T10" s="595">
        <f t="shared" si="1"/>
        <v>8</v>
      </c>
      <c r="U10" s="120">
        <f>SUM($V$5:Y10)</f>
        <v>33</v>
      </c>
      <c r="V10" s="123"/>
      <c r="W10" s="108">
        <v>9</v>
      </c>
      <c r="X10" s="117"/>
      <c r="Y10" s="117"/>
      <c r="AA10" s="122">
        <v>6</v>
      </c>
      <c r="AB10" s="117"/>
      <c r="AC10" s="108">
        <v>2</v>
      </c>
      <c r="AD10" s="117"/>
      <c r="AE10" s="114"/>
      <c r="AF10" s="120">
        <f>SUM($AB$5:AE10)</f>
        <v>27</v>
      </c>
      <c r="AG10" s="595">
        <f t="shared" si="2"/>
        <v>-1</v>
      </c>
      <c r="AH10" s="120">
        <f>SUM($AI$5:AL10)</f>
        <v>28</v>
      </c>
      <c r="AI10" s="123"/>
      <c r="AJ10" s="108">
        <v>4</v>
      </c>
      <c r="AK10" s="117"/>
      <c r="AL10" s="117"/>
      <c r="AN10" s="122">
        <v>6</v>
      </c>
      <c r="AO10" s="117"/>
      <c r="AP10" s="108" t="s">
        <v>2</v>
      </c>
      <c r="AQ10" s="117"/>
      <c r="AR10" s="114"/>
      <c r="AS10" s="120">
        <f>SUM($AO$5:AR10)</f>
        <v>26</v>
      </c>
      <c r="AT10" s="595">
        <f t="shared" si="3"/>
        <v>4</v>
      </c>
      <c r="AU10" s="120">
        <f>SUM($AV$5:AY10)</f>
        <v>22</v>
      </c>
      <c r="AV10" s="123"/>
      <c r="AW10" s="108" t="s">
        <v>2</v>
      </c>
      <c r="AX10" s="117"/>
      <c r="AY10" s="117"/>
    </row>
    <row r="11" spans="1:59" ht="15.75">
      <c r="A11" s="122">
        <v>7</v>
      </c>
      <c r="B11" s="108"/>
      <c r="C11" s="117"/>
      <c r="D11" s="117" t="s">
        <v>2</v>
      </c>
      <c r="E11" s="119"/>
      <c r="F11" s="120">
        <f>SUM($B$5:E11)</f>
        <v>35</v>
      </c>
      <c r="G11" s="595">
        <f t="shared" si="0"/>
        <v>-13</v>
      </c>
      <c r="H11" s="120">
        <f>SUM($I$5:L11)</f>
        <v>48</v>
      </c>
      <c r="I11" s="121"/>
      <c r="J11" s="117"/>
      <c r="K11" s="117">
        <v>11</v>
      </c>
      <c r="L11" s="107"/>
      <c r="N11" s="122">
        <v>7</v>
      </c>
      <c r="O11" s="108"/>
      <c r="P11" s="117"/>
      <c r="Q11" s="565">
        <v>9</v>
      </c>
      <c r="R11" s="107"/>
      <c r="S11" s="120">
        <f>SUM($O$5:R11)</f>
        <v>50</v>
      </c>
      <c r="T11" s="595">
        <f t="shared" si="1"/>
        <v>17</v>
      </c>
      <c r="U11" s="120">
        <f>SUM($V$5:Y11)</f>
        <v>33</v>
      </c>
      <c r="V11" s="121"/>
      <c r="W11" s="117"/>
      <c r="X11" s="117"/>
      <c r="Y11" s="107"/>
      <c r="AA11" s="122">
        <v>7</v>
      </c>
      <c r="AB11" s="108"/>
      <c r="AC11" s="117"/>
      <c r="AD11" s="117">
        <v>2</v>
      </c>
      <c r="AE11" s="119"/>
      <c r="AF11" s="120">
        <f>SUM($AB$5:AE11)</f>
        <v>29</v>
      </c>
      <c r="AG11" s="595">
        <f t="shared" si="2"/>
        <v>-9</v>
      </c>
      <c r="AH11" s="120">
        <f>SUM($AI$5:AL11)</f>
        <v>38</v>
      </c>
      <c r="AI11" s="121"/>
      <c r="AJ11" s="117"/>
      <c r="AK11" s="117">
        <v>10</v>
      </c>
      <c r="AL11" s="107"/>
      <c r="AN11" s="122">
        <v>7</v>
      </c>
      <c r="AO11" s="108"/>
      <c r="AP11" s="117"/>
      <c r="AQ11" s="117">
        <v>10</v>
      </c>
      <c r="AR11" s="107"/>
      <c r="AS11" s="120">
        <f>SUM($AO$5:AR11)</f>
        <v>36</v>
      </c>
      <c r="AT11" s="595">
        <f t="shared" si="3"/>
        <v>8</v>
      </c>
      <c r="AU11" s="120">
        <f>SUM($AV$5:AY11)</f>
        <v>28</v>
      </c>
      <c r="AV11" s="121"/>
      <c r="AW11" s="117"/>
      <c r="AX11" s="117">
        <v>6</v>
      </c>
      <c r="AY11" s="107"/>
    </row>
    <row r="12" spans="1:59" ht="15.75">
      <c r="A12" s="122">
        <v>8</v>
      </c>
      <c r="B12" s="117"/>
      <c r="C12" s="108"/>
      <c r="D12" s="117"/>
      <c r="E12" s="932">
        <v>3</v>
      </c>
      <c r="F12" s="120">
        <f>SUM($B$5:E12)</f>
        <v>38</v>
      </c>
      <c r="G12" s="595">
        <f t="shared" si="0"/>
        <v>-12</v>
      </c>
      <c r="H12" s="120">
        <f>SUM($I$5:L12)</f>
        <v>50</v>
      </c>
      <c r="I12" s="123"/>
      <c r="J12" s="108"/>
      <c r="K12" s="117"/>
      <c r="L12" s="117">
        <v>2</v>
      </c>
      <c r="N12" s="433"/>
      <c r="O12" s="434"/>
      <c r="P12" s="113"/>
      <c r="Q12" s="434"/>
      <c r="R12" s="434"/>
      <c r="S12" s="628"/>
      <c r="T12" s="628"/>
      <c r="U12" s="628"/>
      <c r="V12" s="434"/>
      <c r="W12" s="113"/>
      <c r="X12" s="434"/>
      <c r="Y12" s="434"/>
      <c r="AA12" s="122">
        <v>8</v>
      </c>
      <c r="AB12" s="117"/>
      <c r="AC12" s="108"/>
      <c r="AD12" s="117"/>
      <c r="AE12" s="114">
        <v>8</v>
      </c>
      <c r="AF12" s="120">
        <f>SUM($AB$5:AE12)</f>
        <v>37</v>
      </c>
      <c r="AG12" s="595">
        <f t="shared" si="2"/>
        <v>-1</v>
      </c>
      <c r="AH12" s="120">
        <f>SUM($AI$5:AL12)</f>
        <v>38</v>
      </c>
      <c r="AI12" s="123"/>
      <c r="AJ12" s="108"/>
      <c r="AK12" s="117"/>
      <c r="AL12" s="117" t="s">
        <v>2</v>
      </c>
      <c r="AN12" s="118">
        <v>8</v>
      </c>
      <c r="AO12" s="108"/>
      <c r="AP12" s="117"/>
      <c r="AQ12" s="117"/>
      <c r="AR12" s="119">
        <v>3</v>
      </c>
      <c r="AS12" s="120">
        <f>SUM($AO$5:AR12)</f>
        <v>39</v>
      </c>
      <c r="AT12" s="595">
        <f t="shared" si="3"/>
        <v>8</v>
      </c>
      <c r="AU12" s="120">
        <f>SUM($AV$5:AY12)</f>
        <v>31</v>
      </c>
      <c r="AV12" s="121"/>
      <c r="AW12" s="117"/>
      <c r="AX12" s="117"/>
      <c r="AY12" s="107">
        <v>3</v>
      </c>
    </row>
    <row r="13" spans="1:59" ht="15.75">
      <c r="C13" s="583"/>
      <c r="I13" s="582"/>
      <c r="J13" s="583"/>
      <c r="K13" s="582"/>
      <c r="L13" s="583"/>
      <c r="N13" s="433"/>
      <c r="O13" s="434"/>
      <c r="P13" s="113"/>
      <c r="Q13" s="434"/>
      <c r="R13" s="434"/>
      <c r="S13" s="628"/>
      <c r="T13" s="628"/>
      <c r="U13" s="628"/>
      <c r="V13" s="434"/>
      <c r="W13" s="113"/>
      <c r="X13" s="434"/>
      <c r="Y13" s="434"/>
      <c r="AA13" s="122">
        <v>9</v>
      </c>
      <c r="AB13" s="117">
        <v>4</v>
      </c>
      <c r="AC13" s="108"/>
      <c r="AD13" s="117"/>
      <c r="AE13" s="114"/>
      <c r="AF13" s="120">
        <f>SUM($AB$5:AE13)</f>
        <v>41</v>
      </c>
      <c r="AG13" s="595">
        <f t="shared" si="2"/>
        <v>1</v>
      </c>
      <c r="AH13" s="120">
        <f>SUM($AI$5:AL13)</f>
        <v>40</v>
      </c>
      <c r="AI13" s="123">
        <v>2</v>
      </c>
      <c r="AJ13" s="108"/>
      <c r="AK13" s="117"/>
      <c r="AL13" s="117"/>
      <c r="AN13" s="118">
        <v>9</v>
      </c>
      <c r="AO13" s="108" t="s">
        <v>2</v>
      </c>
      <c r="AP13" s="117"/>
      <c r="AQ13" s="117"/>
      <c r="AR13" s="119"/>
      <c r="AS13" s="120">
        <f>SUM($AO$5:AR13)</f>
        <v>39</v>
      </c>
      <c r="AT13" s="595">
        <f>AS13-AU13</f>
        <v>0</v>
      </c>
      <c r="AU13" s="120">
        <f>SUM($AV$5:AY13)</f>
        <v>39</v>
      </c>
      <c r="AV13" s="121">
        <v>8</v>
      </c>
      <c r="AW13" s="117"/>
      <c r="AX13" s="117"/>
      <c r="AY13" s="107"/>
    </row>
    <row r="14" spans="1:59" ht="15.75">
      <c r="C14" s="583"/>
      <c r="I14" s="582"/>
      <c r="J14" s="583"/>
      <c r="K14" s="582"/>
      <c r="L14" s="583"/>
      <c r="N14" s="433"/>
      <c r="O14" s="434"/>
      <c r="P14" s="113"/>
      <c r="Q14" s="434"/>
      <c r="R14" s="434"/>
      <c r="S14" s="628"/>
      <c r="T14" s="628"/>
      <c r="U14" s="628"/>
      <c r="V14" s="434"/>
      <c r="W14" s="113"/>
      <c r="X14" s="434"/>
      <c r="Y14" s="434"/>
      <c r="AA14" s="122">
        <v>10</v>
      </c>
      <c r="AB14" s="117"/>
      <c r="AC14" s="108">
        <v>3</v>
      </c>
      <c r="AD14" s="117"/>
      <c r="AE14" s="114"/>
      <c r="AF14" s="120">
        <f>SUM($AB$5:AE14)</f>
        <v>44</v>
      </c>
      <c r="AG14" s="595">
        <f t="shared" si="2"/>
        <v>1</v>
      </c>
      <c r="AH14" s="120">
        <f>SUM($AI$5:AL14)</f>
        <v>43</v>
      </c>
      <c r="AI14" s="123"/>
      <c r="AJ14" s="108">
        <v>3</v>
      </c>
      <c r="AK14" s="117"/>
      <c r="AL14" s="117"/>
      <c r="AN14" s="122">
        <v>10</v>
      </c>
      <c r="AO14" s="117"/>
      <c r="AP14" s="108">
        <v>2</v>
      </c>
      <c r="AQ14" s="117"/>
      <c r="AR14" s="114"/>
      <c r="AS14" s="120">
        <f>SUM($AO$5:AR14)</f>
        <v>41</v>
      </c>
      <c r="AT14" s="595">
        <f t="shared" si="3"/>
        <v>0</v>
      </c>
      <c r="AU14" s="120">
        <f>SUM($AV$5:AY14)</f>
        <v>41</v>
      </c>
      <c r="AV14" s="123"/>
      <c r="AW14" s="108">
        <v>2</v>
      </c>
      <c r="AX14" s="117"/>
      <c r="AY14" s="117"/>
    </row>
    <row r="15" spans="1:59" ht="15.75">
      <c r="C15" s="583"/>
      <c r="I15" s="582"/>
      <c r="J15" s="583"/>
      <c r="K15" s="582"/>
      <c r="L15" s="583"/>
      <c r="N15" s="433"/>
      <c r="O15" s="434"/>
      <c r="P15" s="113"/>
      <c r="Q15" s="434"/>
      <c r="R15" s="434"/>
      <c r="S15" s="628"/>
      <c r="T15" s="628"/>
      <c r="U15" s="628"/>
      <c r="V15" s="434"/>
      <c r="W15" s="113"/>
      <c r="X15" s="434"/>
      <c r="Y15" s="434"/>
      <c r="AA15" s="118">
        <v>11</v>
      </c>
      <c r="AB15" s="117"/>
      <c r="AC15" s="117"/>
      <c r="AD15" s="117" t="s">
        <v>2</v>
      </c>
      <c r="AE15" s="119"/>
      <c r="AF15" s="120">
        <f>SUM($AB$5:AE15)</f>
        <v>44</v>
      </c>
      <c r="AG15" s="595">
        <f t="shared" si="2"/>
        <v>-1</v>
      </c>
      <c r="AH15" s="120">
        <f>SUM($AI$5:AL15)</f>
        <v>45</v>
      </c>
      <c r="AI15" s="121"/>
      <c r="AJ15" s="117"/>
      <c r="AK15" s="117">
        <v>2</v>
      </c>
      <c r="AL15" s="107"/>
      <c r="AN15" s="122">
        <v>11</v>
      </c>
      <c r="AO15" s="108"/>
      <c r="AP15" s="117"/>
      <c r="AQ15" s="565">
        <v>9</v>
      </c>
      <c r="AR15" s="119"/>
      <c r="AS15" s="120">
        <f>SUM($AO$5:AR15)</f>
        <v>50</v>
      </c>
      <c r="AT15" s="595">
        <f t="shared" si="3"/>
        <v>9</v>
      </c>
      <c r="AU15" s="120">
        <f>SUM($AV$5:AY15)</f>
        <v>41</v>
      </c>
      <c r="AV15" s="121"/>
      <c r="AW15" s="117"/>
      <c r="AX15" s="117"/>
      <c r="AY15" s="107"/>
    </row>
    <row r="16" spans="1:59" ht="15.75">
      <c r="C16" s="583"/>
      <c r="I16" s="582"/>
      <c r="J16" s="583"/>
      <c r="K16" s="582"/>
      <c r="L16" s="583"/>
      <c r="N16" s="433"/>
      <c r="O16" s="434"/>
      <c r="P16" s="113"/>
      <c r="Q16" s="434"/>
      <c r="R16" s="434"/>
      <c r="S16" s="628"/>
      <c r="T16" s="628"/>
      <c r="U16" s="628"/>
      <c r="V16" s="434"/>
      <c r="W16" s="113"/>
      <c r="X16" s="434"/>
      <c r="Y16" s="434"/>
      <c r="AA16" s="122">
        <v>12</v>
      </c>
      <c r="AB16" s="117"/>
      <c r="AC16" s="108"/>
      <c r="AD16" s="117"/>
      <c r="AE16" s="1431">
        <v>6</v>
      </c>
      <c r="AF16" s="120">
        <f>SUM($AB$5:AE16)</f>
        <v>50</v>
      </c>
      <c r="AG16" s="595">
        <f t="shared" si="2"/>
        <v>5</v>
      </c>
      <c r="AH16" s="120">
        <f>SUM($AI$5:AL16)</f>
        <v>45</v>
      </c>
      <c r="AI16" s="123"/>
      <c r="AJ16" s="108"/>
      <c r="AK16" s="117"/>
      <c r="AL16" s="117"/>
      <c r="AN16" s="433"/>
      <c r="AO16" s="434"/>
      <c r="AP16" s="113"/>
      <c r="AQ16" s="434"/>
      <c r="AR16" s="434"/>
      <c r="AS16" s="628"/>
      <c r="AT16" s="628"/>
      <c r="AU16" s="628"/>
      <c r="AV16" s="434"/>
      <c r="AW16" s="113"/>
      <c r="AX16" s="434"/>
      <c r="AY16" s="434"/>
    </row>
    <row r="17" spans="1:65">
      <c r="C17" s="583"/>
      <c r="I17" s="582"/>
      <c r="J17" s="583"/>
      <c r="K17" s="582"/>
      <c r="L17" s="583"/>
      <c r="P17" s="583"/>
      <c r="S17" s="583"/>
      <c r="V17" s="582"/>
      <c r="W17" s="583"/>
      <c r="X17" s="582"/>
      <c r="Y17" s="583"/>
      <c r="AC17" s="583"/>
      <c r="AI17" s="582"/>
      <c r="AJ17" s="583"/>
      <c r="AK17" s="582"/>
      <c r="AL17" s="583"/>
      <c r="AP17" s="583"/>
      <c r="AS17" s="583"/>
      <c r="AV17" s="582"/>
      <c r="AW17" s="583"/>
      <c r="AX17" s="582"/>
      <c r="AY17" s="583"/>
    </row>
    <row r="18" spans="1:65" ht="15.75">
      <c r="A18" s="126" t="s">
        <v>3</v>
      </c>
      <c r="B18" s="108">
        <f>SUM(B5:B17)</f>
        <v>21</v>
      </c>
      <c r="C18" s="108">
        <f>SUM(C5:C17)</f>
        <v>2</v>
      </c>
      <c r="D18" s="108">
        <f>SUM(D5:D17)</f>
        <v>4</v>
      </c>
      <c r="E18" s="584">
        <f>SUM(E5:E17)</f>
        <v>11</v>
      </c>
      <c r="F18" s="127">
        <f>MAX(F5:F16)</f>
        <v>38</v>
      </c>
      <c r="H18" s="127">
        <f>SUM(I18:L18)</f>
        <v>50</v>
      </c>
      <c r="I18" s="108">
        <f>SUM(I5:I17)</f>
        <v>17</v>
      </c>
      <c r="J18" s="108">
        <f>SUM(J5:J17)</f>
        <v>6</v>
      </c>
      <c r="K18" s="108">
        <f>SUM(K5:K17)</f>
        <v>15</v>
      </c>
      <c r="L18" s="108">
        <f>SUM(L5:L17)</f>
        <v>12</v>
      </c>
      <c r="N18" s="126" t="s">
        <v>3</v>
      </c>
      <c r="O18" s="108">
        <f>SUM(O5:O17)</f>
        <v>10</v>
      </c>
      <c r="P18" s="108">
        <f>SUM(P5:P17)</f>
        <v>11</v>
      </c>
      <c r="Q18" s="108">
        <f>SUM(Q5:Q17)</f>
        <v>17</v>
      </c>
      <c r="R18" s="108">
        <f>SUM(R5:R17)</f>
        <v>12</v>
      </c>
      <c r="S18" s="127">
        <f>MAX(S5:S14)</f>
        <v>50</v>
      </c>
      <c r="U18" s="127">
        <f>MAX(U5:U14)</f>
        <v>33</v>
      </c>
      <c r="V18" s="108">
        <f>SUM(V5:V17)</f>
        <v>11</v>
      </c>
      <c r="W18" s="584">
        <f>SUM(W5:W17)</f>
        <v>17</v>
      </c>
      <c r="X18" s="108">
        <f>SUM(X5:X17)</f>
        <v>5</v>
      </c>
      <c r="Y18" s="108">
        <f>SUM(Y5:Y17)</f>
        <v>0</v>
      </c>
      <c r="AA18" s="126" t="s">
        <v>3</v>
      </c>
      <c r="AB18" s="108">
        <f>SUM(AB5:AB17)</f>
        <v>15</v>
      </c>
      <c r="AC18" s="108">
        <f>SUM(AC5:AC17)</f>
        <v>13</v>
      </c>
      <c r="AD18" s="108">
        <f>SUM(AD5:AD17)</f>
        <v>8</v>
      </c>
      <c r="AE18" s="584">
        <f>SUM(AE5:AE17)</f>
        <v>14</v>
      </c>
      <c r="AF18" s="127">
        <f>MAX(AF5:AF16)</f>
        <v>50</v>
      </c>
      <c r="AH18" s="127">
        <f>SUM(AI18:AL18)</f>
        <v>45</v>
      </c>
      <c r="AI18" s="108">
        <f>SUM(AI5:AI17)</f>
        <v>10</v>
      </c>
      <c r="AJ18" s="108">
        <f>SUM(AJ5:AJ17)</f>
        <v>13</v>
      </c>
      <c r="AK18" s="108">
        <f>SUM(AK5:AK17)</f>
        <v>20</v>
      </c>
      <c r="AL18" s="108">
        <f>SUM(AL5:AL17)</f>
        <v>2</v>
      </c>
      <c r="AN18" s="126" t="s">
        <v>3</v>
      </c>
      <c r="AO18" s="108">
        <f>SUM(AO5:AO17)</f>
        <v>19</v>
      </c>
      <c r="AP18" s="108">
        <f>SUM(AP5:AP17)</f>
        <v>7</v>
      </c>
      <c r="AQ18" s="108">
        <f>SUM(AQ5:AQ17)</f>
        <v>21</v>
      </c>
      <c r="AR18" s="108">
        <f>SUM(AR5:AR17)</f>
        <v>3</v>
      </c>
      <c r="AS18" s="127">
        <f>MAX(AS5:AS15)</f>
        <v>50</v>
      </c>
      <c r="AU18" s="127">
        <f>MAX(AU5:AU15)</f>
        <v>41</v>
      </c>
      <c r="AV18" s="108">
        <f>SUM(AV5:AV17)</f>
        <v>15</v>
      </c>
      <c r="AW18" s="584">
        <f>SUM(AW5:AW17)</f>
        <v>2</v>
      </c>
      <c r="AX18" s="108">
        <f>SUM(AX5:AX17)</f>
        <v>10</v>
      </c>
      <c r="AY18" s="108">
        <f>SUM(AY5:AY17)</f>
        <v>14</v>
      </c>
    </row>
    <row r="19" spans="1:65" ht="15.75">
      <c r="A19" s="128" t="s">
        <v>4</v>
      </c>
      <c r="B19" s="117">
        <f>COUNTA(B5:B17)</f>
        <v>2</v>
      </c>
      <c r="C19" s="117">
        <f>COUNTA(C5:C17)</f>
        <v>2</v>
      </c>
      <c r="D19" s="117">
        <f>COUNTA(D5:D17)</f>
        <v>2</v>
      </c>
      <c r="E19" s="117">
        <f>COUNTA(E5:E17)</f>
        <v>2</v>
      </c>
      <c r="F19" s="127">
        <f>SUM(B19:E19)</f>
        <v>8</v>
      </c>
      <c r="H19" s="127">
        <f>SUM(I19:L19)</f>
        <v>8</v>
      </c>
      <c r="I19" s="117">
        <f>COUNTA(I5:I17)</f>
        <v>2</v>
      </c>
      <c r="J19" s="117">
        <f>COUNTA(J5:J17)</f>
        <v>2</v>
      </c>
      <c r="K19" s="117">
        <f>COUNTA(K5:K17)</f>
        <v>2</v>
      </c>
      <c r="L19" s="117">
        <f>COUNTA(L5:L17)</f>
        <v>2</v>
      </c>
      <c r="N19" s="128" t="s">
        <v>4</v>
      </c>
      <c r="O19" s="117">
        <f>COUNTA(O5:O17)</f>
        <v>2</v>
      </c>
      <c r="P19" s="117">
        <f>COUNTA(P5:P17)</f>
        <v>2</v>
      </c>
      <c r="Q19" s="117">
        <f>COUNTA(Q5:Q17)</f>
        <v>2</v>
      </c>
      <c r="R19" s="117">
        <f>COUNTA(R5:R17)</f>
        <v>1</v>
      </c>
      <c r="S19" s="127">
        <f>SUM(O19:R19)</f>
        <v>7</v>
      </c>
      <c r="U19" s="127">
        <f>SUM(V19:Y19)</f>
        <v>6</v>
      </c>
      <c r="V19" s="117">
        <f>COUNTA(V5:V17)</f>
        <v>2</v>
      </c>
      <c r="W19" s="117">
        <f>COUNTA(W5:W17)</f>
        <v>2</v>
      </c>
      <c r="X19" s="117">
        <f>COUNTA(X5:X17)</f>
        <v>1</v>
      </c>
      <c r="Y19" s="117">
        <f>COUNTA(Y5:Y17)</f>
        <v>1</v>
      </c>
      <c r="AA19" s="128" t="s">
        <v>4</v>
      </c>
      <c r="AB19" s="117">
        <f>COUNTA(AB5:AB17)</f>
        <v>3</v>
      </c>
      <c r="AC19" s="117">
        <f>COUNTA(AC5:AC17)</f>
        <v>3</v>
      </c>
      <c r="AD19" s="117">
        <f>COUNTA(AD5:AD17)</f>
        <v>3</v>
      </c>
      <c r="AE19" s="117">
        <f>COUNTA(AE5:AE17)</f>
        <v>3</v>
      </c>
      <c r="AF19" s="127">
        <f>SUM(AB19:AE19)</f>
        <v>12</v>
      </c>
      <c r="AH19" s="127">
        <f>SUM(AI19:AL19)</f>
        <v>11</v>
      </c>
      <c r="AI19" s="117">
        <f>COUNTA(AI5:AI17)</f>
        <v>3</v>
      </c>
      <c r="AJ19" s="117">
        <f>COUNTA(AJ5:AJ17)</f>
        <v>3</v>
      </c>
      <c r="AK19" s="117">
        <f>COUNTA(AK5:AK17)</f>
        <v>3</v>
      </c>
      <c r="AL19" s="117">
        <f>COUNTA(AL5:AL17)</f>
        <v>2</v>
      </c>
      <c r="AN19" s="128" t="s">
        <v>4</v>
      </c>
      <c r="AO19" s="117">
        <f>COUNTA(AO5:AO17)</f>
        <v>3</v>
      </c>
      <c r="AP19" s="117">
        <f>COUNTA(AP5:AP17)</f>
        <v>3</v>
      </c>
      <c r="AQ19" s="117">
        <f>COUNTA(AQ5:AQ17)</f>
        <v>3</v>
      </c>
      <c r="AR19" s="117">
        <f>COUNTA(AR5:AR17)</f>
        <v>2</v>
      </c>
      <c r="AS19" s="127">
        <f>SUM(AO19:AR19)</f>
        <v>11</v>
      </c>
      <c r="AU19" s="127">
        <f>SUM(AV19:AY19)</f>
        <v>10</v>
      </c>
      <c r="AV19" s="117">
        <f>COUNTA(AV5:AV17)</f>
        <v>3</v>
      </c>
      <c r="AW19" s="117">
        <f>COUNTA(AW5:AW17)</f>
        <v>3</v>
      </c>
      <c r="AX19" s="117">
        <f>COUNTA(AX5:AX17)</f>
        <v>2</v>
      </c>
      <c r="AY19" s="117">
        <f>COUNTA(AY5:AY17)</f>
        <v>2</v>
      </c>
    </row>
    <row r="20" spans="1:65" ht="15.75">
      <c r="A20" s="126" t="s">
        <v>6</v>
      </c>
      <c r="B20" s="584">
        <f>B19-COUNT(B5:B17)</f>
        <v>0</v>
      </c>
      <c r="C20" s="108">
        <f>C19-COUNT(C5:C17)</f>
        <v>1</v>
      </c>
      <c r="D20" s="584">
        <f>D19-COUNT(D5:D17)</f>
        <v>1</v>
      </c>
      <c r="E20" s="584">
        <f>E19-COUNT(E5:E17)</f>
        <v>0</v>
      </c>
      <c r="F20" s="127">
        <f>SUM(B20:E20)</f>
        <v>2</v>
      </c>
      <c r="H20" s="127">
        <f>SUM(I20:L20)</f>
        <v>1</v>
      </c>
      <c r="I20" s="108">
        <f>I19-COUNT(I5:I17)</f>
        <v>0</v>
      </c>
      <c r="J20" s="108">
        <f>J19-COUNT(J5:J17)</f>
        <v>1</v>
      </c>
      <c r="K20" s="108">
        <f>K19-COUNT(K5:K17)</f>
        <v>0</v>
      </c>
      <c r="L20" s="108">
        <f>L19-COUNT(L5:L17)</f>
        <v>0</v>
      </c>
      <c r="N20" s="126" t="s">
        <v>6</v>
      </c>
      <c r="O20" s="108">
        <f>O19-COUNT(O5:O17)</f>
        <v>1</v>
      </c>
      <c r="P20" s="108">
        <f>P19-COUNT(P5:P17)</f>
        <v>0</v>
      </c>
      <c r="Q20" s="108">
        <f>Q19-COUNT(Q5:Q17)</f>
        <v>0</v>
      </c>
      <c r="R20" s="108">
        <f>R19-COUNT(R5:R17)</f>
        <v>0</v>
      </c>
      <c r="S20" s="127">
        <f>SUM(O20:R20)</f>
        <v>1</v>
      </c>
      <c r="U20" s="127">
        <f>SUM(V20:Y20)</f>
        <v>1</v>
      </c>
      <c r="V20" s="108">
        <f>V19-COUNT(V5:V17)</f>
        <v>0</v>
      </c>
      <c r="W20" s="584">
        <f>W19-COUNT(W5:W17)</f>
        <v>0</v>
      </c>
      <c r="X20" s="584">
        <f>X19-COUNT(X5:X17)</f>
        <v>0</v>
      </c>
      <c r="Y20" s="108">
        <f>Y19-COUNT(Y5:Y17)</f>
        <v>1</v>
      </c>
      <c r="AA20" s="126" t="s">
        <v>6</v>
      </c>
      <c r="AB20" s="584">
        <f>AB19-COUNT(AB5:AB17)</f>
        <v>0</v>
      </c>
      <c r="AC20" s="108">
        <f>AC19-COUNT(AC5:AC17)</f>
        <v>0</v>
      </c>
      <c r="AD20" s="584">
        <f>AD19-COUNT(AD5:AD17)</f>
        <v>1</v>
      </c>
      <c r="AE20" s="584">
        <f>AE19-COUNT(AE5:AE17)</f>
        <v>1</v>
      </c>
      <c r="AF20" s="127">
        <f>SUM(AB20:AE20)</f>
        <v>2</v>
      </c>
      <c r="AH20" s="127">
        <f>SUM(AI20:AL20)</f>
        <v>2</v>
      </c>
      <c r="AI20" s="108">
        <f>AI19-COUNT(AI5:AI17)</f>
        <v>1</v>
      </c>
      <c r="AJ20" s="108">
        <f>AJ19-COUNT(AJ5:AJ17)</f>
        <v>0</v>
      </c>
      <c r="AK20" s="108">
        <f>AK19-COUNT(AK5:AK17)</f>
        <v>0</v>
      </c>
      <c r="AL20" s="108">
        <f>AL19-COUNT(AL5:AL17)</f>
        <v>1</v>
      </c>
      <c r="AN20" s="126" t="s">
        <v>6</v>
      </c>
      <c r="AO20" s="108">
        <f>AO19-COUNT(AO5:AO17)</f>
        <v>1</v>
      </c>
      <c r="AP20" s="108">
        <f>AP19-COUNT(AP5:AP17)</f>
        <v>1</v>
      </c>
      <c r="AQ20" s="108">
        <f>AQ19-COUNT(AQ5:AQ17)</f>
        <v>0</v>
      </c>
      <c r="AR20" s="108">
        <f>AR19-COUNT(AR5:AR17)</f>
        <v>1</v>
      </c>
      <c r="AS20" s="127">
        <f>SUM(AO20:AR20)</f>
        <v>3</v>
      </c>
      <c r="AU20" s="127">
        <f>SUM(AV20:AY20)</f>
        <v>2</v>
      </c>
      <c r="AV20" s="108">
        <f>AV19-COUNT(AV5:AV17)</f>
        <v>0</v>
      </c>
      <c r="AW20" s="584">
        <f>AW19-COUNT(AW5:AW17)</f>
        <v>2</v>
      </c>
      <c r="AX20" s="584">
        <f>AX19-COUNT(AX5:AX17)</f>
        <v>0</v>
      </c>
      <c r="AY20" s="108">
        <f>AY19-COUNT(AY5:AY17)</f>
        <v>0</v>
      </c>
    </row>
    <row r="21" spans="1:65" ht="15.75">
      <c r="A21" s="126" t="s">
        <v>12</v>
      </c>
      <c r="B21" s="933">
        <f>B20/B19</f>
        <v>0</v>
      </c>
      <c r="C21" s="129">
        <f>C20/C19</f>
        <v>0.5</v>
      </c>
      <c r="D21" s="131">
        <f>D20/D19</f>
        <v>0.5</v>
      </c>
      <c r="E21" s="131">
        <f>E20/E19</f>
        <v>0</v>
      </c>
      <c r="F21" s="130">
        <f>F20/F19</f>
        <v>0.25</v>
      </c>
      <c r="H21" s="130">
        <f>H20/H19</f>
        <v>0.125</v>
      </c>
      <c r="I21" s="933">
        <f>I20/I19</f>
        <v>0</v>
      </c>
      <c r="J21" s="129">
        <f>J20/J19</f>
        <v>0.5</v>
      </c>
      <c r="K21" s="129">
        <f>K20/K19</f>
        <v>0</v>
      </c>
      <c r="L21" s="129">
        <f>L20/L19</f>
        <v>0</v>
      </c>
      <c r="N21" s="126" t="s">
        <v>12</v>
      </c>
      <c r="O21" s="933">
        <f>O20/O19</f>
        <v>0.5</v>
      </c>
      <c r="P21" s="129">
        <f>P20/P19</f>
        <v>0</v>
      </c>
      <c r="Q21" s="129">
        <f>Q20/Q19</f>
        <v>0</v>
      </c>
      <c r="R21" s="129">
        <f>R20/R19</f>
        <v>0</v>
      </c>
      <c r="S21" s="130">
        <f>S20/S19</f>
        <v>0.14285714285714285</v>
      </c>
      <c r="U21" s="130">
        <f>U20/U19</f>
        <v>0.16666666666666666</v>
      </c>
      <c r="V21" s="129">
        <f>V20/V19</f>
        <v>0</v>
      </c>
      <c r="W21" s="131">
        <f>W20/W19</f>
        <v>0</v>
      </c>
      <c r="X21" s="131">
        <f>X20/X19</f>
        <v>0</v>
      </c>
      <c r="Y21" s="129">
        <f>Y20/Y19</f>
        <v>1</v>
      </c>
      <c r="AA21" s="126" t="s">
        <v>12</v>
      </c>
      <c r="AB21" s="933">
        <f>AB20/AB19</f>
        <v>0</v>
      </c>
      <c r="AC21" s="129">
        <f>AC20/AC19</f>
        <v>0</v>
      </c>
      <c r="AD21" s="131">
        <f>AD20/AD19</f>
        <v>0.33333333333333331</v>
      </c>
      <c r="AE21" s="131">
        <f>AE20/AE19</f>
        <v>0.33333333333333331</v>
      </c>
      <c r="AF21" s="130">
        <f>AF20/AF19</f>
        <v>0.16666666666666666</v>
      </c>
      <c r="AH21" s="130">
        <f>AH20/AH19</f>
        <v>0.18181818181818182</v>
      </c>
      <c r="AI21" s="933">
        <f>AI20/AI19</f>
        <v>0.33333333333333331</v>
      </c>
      <c r="AJ21" s="129">
        <f>AJ20/AJ19</f>
        <v>0</v>
      </c>
      <c r="AK21" s="129">
        <f>AK20/AK19</f>
        <v>0</v>
      </c>
      <c r="AL21" s="129">
        <f>AL20/AL19</f>
        <v>0.5</v>
      </c>
      <c r="AN21" s="126" t="s">
        <v>12</v>
      </c>
      <c r="AO21" s="933">
        <f>AO20/AO19</f>
        <v>0.33333333333333331</v>
      </c>
      <c r="AP21" s="129">
        <f>AP20/AP19</f>
        <v>0.33333333333333331</v>
      </c>
      <c r="AQ21" s="129">
        <f>AQ20/AQ19</f>
        <v>0</v>
      </c>
      <c r="AR21" s="129">
        <f>AR20/AR19</f>
        <v>0.5</v>
      </c>
      <c r="AS21" s="130">
        <f>AS20/AS19</f>
        <v>0.27272727272727271</v>
      </c>
      <c r="AU21" s="130">
        <f>AU20/AU19</f>
        <v>0.2</v>
      </c>
      <c r="AV21" s="129">
        <f>AV20/AV19</f>
        <v>0</v>
      </c>
      <c r="AW21" s="131">
        <f>AW20/AW19</f>
        <v>0.66666666666666663</v>
      </c>
      <c r="AX21" s="131">
        <f>AX20/AX19</f>
        <v>0</v>
      </c>
      <c r="AY21" s="129">
        <f>AY20/AY19</f>
        <v>0</v>
      </c>
    </row>
    <row r="22" spans="1:65" ht="15.75">
      <c r="A22" s="126" t="s">
        <v>5</v>
      </c>
      <c r="B22" s="132">
        <f>B18/B19</f>
        <v>10.5</v>
      </c>
      <c r="C22" s="132">
        <f>C18/C19</f>
        <v>1</v>
      </c>
      <c r="D22" s="132">
        <f>D18/D19</f>
        <v>2</v>
      </c>
      <c r="E22" s="134">
        <f>E18/E19</f>
        <v>5.5</v>
      </c>
      <c r="F22" s="133">
        <f>F18/F19</f>
        <v>4.75</v>
      </c>
      <c r="H22" s="133">
        <f>H18/H19</f>
        <v>6.25</v>
      </c>
      <c r="I22" s="132">
        <f>I18/I19</f>
        <v>8.5</v>
      </c>
      <c r="J22" s="132">
        <f>J18/J19</f>
        <v>3</v>
      </c>
      <c r="K22" s="132">
        <f>K18/K19</f>
        <v>7.5</v>
      </c>
      <c r="L22" s="132">
        <f>L18/L19</f>
        <v>6</v>
      </c>
      <c r="N22" s="126" t="s">
        <v>5</v>
      </c>
      <c r="O22" s="132">
        <f>O18/O19</f>
        <v>5</v>
      </c>
      <c r="P22" s="132">
        <f>P18/P19</f>
        <v>5.5</v>
      </c>
      <c r="Q22" s="132">
        <f>Q18/Q19</f>
        <v>8.5</v>
      </c>
      <c r="R22" s="132">
        <f>R18/R19</f>
        <v>12</v>
      </c>
      <c r="S22" s="133">
        <f>S18/S19</f>
        <v>7.1428571428571432</v>
      </c>
      <c r="U22" s="133">
        <f>U18/U19</f>
        <v>5.5</v>
      </c>
      <c r="V22" s="132">
        <f>V18/V19</f>
        <v>5.5</v>
      </c>
      <c r="W22" s="134">
        <f>W18/W19</f>
        <v>8.5</v>
      </c>
      <c r="X22" s="132">
        <f>X18/X19</f>
        <v>5</v>
      </c>
      <c r="Y22" s="132">
        <f>Y18/Y19</f>
        <v>0</v>
      </c>
      <c r="AA22" s="126" t="s">
        <v>5</v>
      </c>
      <c r="AB22" s="132">
        <f>AB18/AB19</f>
        <v>5</v>
      </c>
      <c r="AC22" s="132">
        <f>AC18/AC19</f>
        <v>4.333333333333333</v>
      </c>
      <c r="AD22" s="132">
        <f>AD18/AD19</f>
        <v>2.6666666666666665</v>
      </c>
      <c r="AE22" s="134">
        <f>AE18/AE19</f>
        <v>4.666666666666667</v>
      </c>
      <c r="AF22" s="133">
        <f>AF18/AF19</f>
        <v>4.166666666666667</v>
      </c>
      <c r="AH22" s="133">
        <f>AH18/AH19</f>
        <v>4.0909090909090908</v>
      </c>
      <c r="AI22" s="132">
        <f>AI18/AI19</f>
        <v>3.3333333333333335</v>
      </c>
      <c r="AJ22" s="132">
        <f>AJ18/AJ19</f>
        <v>4.333333333333333</v>
      </c>
      <c r="AK22" s="132">
        <f>AK18/AK19</f>
        <v>6.666666666666667</v>
      </c>
      <c r="AL22" s="132">
        <f>AL18/AL19</f>
        <v>1</v>
      </c>
      <c r="AN22" s="126" t="s">
        <v>5</v>
      </c>
      <c r="AO22" s="132">
        <f>AO18/AO19</f>
        <v>6.333333333333333</v>
      </c>
      <c r="AP22" s="132">
        <f>AP18/AP19</f>
        <v>2.3333333333333335</v>
      </c>
      <c r="AQ22" s="132">
        <f>AQ18/AQ19</f>
        <v>7</v>
      </c>
      <c r="AR22" s="132">
        <f>AR18/AR19</f>
        <v>1.5</v>
      </c>
      <c r="AS22" s="133">
        <f>AS18/AS19</f>
        <v>4.5454545454545459</v>
      </c>
      <c r="AU22" s="133">
        <f>AU18/AU19</f>
        <v>4.0999999999999996</v>
      </c>
      <c r="AV22" s="132">
        <f>AV18/AV19</f>
        <v>5</v>
      </c>
      <c r="AW22" s="134">
        <f>AW18/AW19</f>
        <v>0.66666666666666663</v>
      </c>
      <c r="AX22" s="132">
        <f>AX18/AX19</f>
        <v>5</v>
      </c>
      <c r="AY22" s="132">
        <f>AY18/AY19</f>
        <v>7</v>
      </c>
    </row>
    <row r="23" spans="1:65" ht="15.75">
      <c r="A23" s="126" t="s">
        <v>8</v>
      </c>
      <c r="B23" s="135">
        <f>B18/(B19-B20)</f>
        <v>10.5</v>
      </c>
      <c r="C23" s="135">
        <f>C18/(C19-C20)</f>
        <v>2</v>
      </c>
      <c r="D23" s="132">
        <f>D18/(D19-D20)</f>
        <v>4</v>
      </c>
      <c r="E23" s="134">
        <f>E18/(E19-E20)</f>
        <v>5.5</v>
      </c>
      <c r="F23" s="136">
        <f>F18/(F19-F20)</f>
        <v>6.333333333333333</v>
      </c>
      <c r="H23" s="136">
        <f>H18/(H19-H20)</f>
        <v>7.1428571428571432</v>
      </c>
      <c r="I23" s="135">
        <f>I18/(I19-I20)</f>
        <v>8.5</v>
      </c>
      <c r="J23" s="135">
        <f>J18/(J19-J20)</f>
        <v>6</v>
      </c>
      <c r="K23" s="135">
        <f>K18/(K19-K20)</f>
        <v>7.5</v>
      </c>
      <c r="L23" s="135">
        <f>L18/(L19-L20)</f>
        <v>6</v>
      </c>
      <c r="N23" s="126" t="s">
        <v>8</v>
      </c>
      <c r="O23" s="135">
        <f>O18/(O19-O20)</f>
        <v>10</v>
      </c>
      <c r="P23" s="135">
        <f>P18/(P19-P20)</f>
        <v>5.5</v>
      </c>
      <c r="Q23" s="135">
        <f>Q18/(Q19-Q20)</f>
        <v>8.5</v>
      </c>
      <c r="R23" s="135">
        <f>R18/(R19-R20)</f>
        <v>12</v>
      </c>
      <c r="S23" s="136">
        <f>S18/(S19-S20)</f>
        <v>8.3333333333333339</v>
      </c>
      <c r="U23" s="136">
        <f>U18/(U19-U20)</f>
        <v>6.6</v>
      </c>
      <c r="V23" s="135">
        <f>V18/(V19-V20)</f>
        <v>5.5</v>
      </c>
      <c r="W23" s="134">
        <f>W18/(W19-W20)</f>
        <v>8.5</v>
      </c>
      <c r="X23" s="135">
        <f>X18/(X19-X20)</f>
        <v>5</v>
      </c>
      <c r="Y23" s="135"/>
      <c r="AA23" s="126" t="s">
        <v>8</v>
      </c>
      <c r="AB23" s="135">
        <f>AB18/(AB19-AB20)</f>
        <v>5</v>
      </c>
      <c r="AC23" s="135">
        <f>AC18/(AC19-AC20)</f>
        <v>4.333333333333333</v>
      </c>
      <c r="AD23" s="132">
        <f>AD18/(AD19-AD20)</f>
        <v>4</v>
      </c>
      <c r="AE23" s="134">
        <f>AE18/(AE19-AE20)</f>
        <v>7</v>
      </c>
      <c r="AF23" s="136">
        <f>AF18/(AF19-AF20)</f>
        <v>5</v>
      </c>
      <c r="AH23" s="136">
        <f>AH18/(AH19-AH20)</f>
        <v>5</v>
      </c>
      <c r="AI23" s="135">
        <f>AI18/(AI19-AI20)</f>
        <v>5</v>
      </c>
      <c r="AJ23" s="135">
        <f>AJ18/(AJ19-AJ20)</f>
        <v>4.333333333333333</v>
      </c>
      <c r="AK23" s="135">
        <f>AK18/(AK19-AK20)</f>
        <v>6.666666666666667</v>
      </c>
      <c r="AL23" s="135">
        <f>AL18/(AL19-AL20)</f>
        <v>2</v>
      </c>
      <c r="AN23" s="126" t="s">
        <v>8</v>
      </c>
      <c r="AO23" s="135">
        <f>AO18/(AO19-AO20)</f>
        <v>9.5</v>
      </c>
      <c r="AP23" s="135">
        <f>AP18/(AP19-AP20)</f>
        <v>3.5</v>
      </c>
      <c r="AQ23" s="135">
        <f>AQ18/(AQ19-AQ20)</f>
        <v>7</v>
      </c>
      <c r="AR23" s="135">
        <f>AR18/(AR19-AR20)</f>
        <v>3</v>
      </c>
      <c r="AS23" s="136">
        <f>AS18/(AS19-AS20)</f>
        <v>6.25</v>
      </c>
      <c r="AU23" s="136">
        <f>AU18/(AU19-AU20)</f>
        <v>5.125</v>
      </c>
      <c r="AV23" s="135">
        <f>AV18/(AV19-AV20)</f>
        <v>5</v>
      </c>
      <c r="AW23" s="134">
        <f>AW18/(AW19-AW20)</f>
        <v>2</v>
      </c>
      <c r="AX23" s="135">
        <f>AX18/(AX19-AX20)</f>
        <v>5</v>
      </c>
      <c r="AY23" s="132">
        <f>AY18/(AY19-AY20)</f>
        <v>7</v>
      </c>
    </row>
    <row r="24" spans="1:65" s="111" customFormat="1">
      <c r="A24" s="109"/>
      <c r="B24" s="110"/>
      <c r="C24" s="580"/>
      <c r="D24" s="110"/>
      <c r="E24" s="580"/>
      <c r="F24" s="580"/>
      <c r="G24" s="580"/>
      <c r="N24" s="109"/>
      <c r="O24" s="110"/>
      <c r="P24" s="580"/>
      <c r="Q24" s="110"/>
      <c r="R24" s="580"/>
      <c r="T24" s="580"/>
      <c r="AA24" s="109"/>
      <c r="AB24" s="110"/>
      <c r="AC24" s="580"/>
      <c r="AD24" s="110"/>
      <c r="AE24" s="580"/>
      <c r="AF24" s="580"/>
      <c r="AG24" s="580"/>
      <c r="AN24" s="109"/>
      <c r="AO24" s="110"/>
      <c r="AP24" s="580"/>
      <c r="AQ24" s="110"/>
      <c r="AR24" s="580"/>
      <c r="AT24" s="580"/>
      <c r="BG24" s="580"/>
    </row>
    <row r="25" spans="1:65" ht="15.75">
      <c r="B25" s="1541" t="s">
        <v>117</v>
      </c>
      <c r="C25" s="1541"/>
      <c r="D25" s="1541"/>
      <c r="E25" s="1541"/>
      <c r="I25" s="1540" t="s">
        <v>103</v>
      </c>
      <c r="J25" s="1540"/>
      <c r="K25" s="1540"/>
      <c r="L25" s="1540"/>
      <c r="O25" s="1541" t="s">
        <v>103</v>
      </c>
      <c r="P25" s="1541"/>
      <c r="Q25" s="1541"/>
      <c r="R25" s="1541"/>
      <c r="V25" s="1544" t="s">
        <v>117</v>
      </c>
      <c r="W25" s="1544"/>
      <c r="X25" s="1544"/>
      <c r="Y25" s="1544"/>
      <c r="AB25" s="1544" t="s">
        <v>117</v>
      </c>
      <c r="AC25" s="1544"/>
      <c r="AD25" s="1544"/>
      <c r="AE25" s="1544"/>
      <c r="AI25" s="1541" t="s">
        <v>103</v>
      </c>
      <c r="AJ25" s="1541"/>
      <c r="AK25" s="1541"/>
      <c r="AL25" s="1541"/>
      <c r="AO25" s="1540" t="s">
        <v>103</v>
      </c>
      <c r="AP25" s="1540"/>
      <c r="AQ25" s="1540"/>
      <c r="AR25" s="1540"/>
      <c r="AV25" s="1541" t="s">
        <v>117</v>
      </c>
      <c r="AW25" s="1541"/>
      <c r="AX25" s="1541"/>
      <c r="AY25" s="1541"/>
      <c r="BA25" s="581"/>
      <c r="BB25" s="1545" t="s">
        <v>117</v>
      </c>
      <c r="BC25" s="1545"/>
      <c r="BD25" s="1545"/>
      <c r="BE25" s="1545"/>
      <c r="BI25" s="1541" t="s">
        <v>103</v>
      </c>
      <c r="BJ25" s="1541"/>
      <c r="BK25" s="1541"/>
      <c r="BL25" s="1541"/>
      <c r="BM25" s="111"/>
    </row>
    <row r="26" spans="1:65" ht="15.75">
      <c r="B26" s="585">
        <v>1</v>
      </c>
      <c r="C26" s="586">
        <v>2</v>
      </c>
      <c r="D26" s="587">
        <v>3</v>
      </c>
      <c r="E26" s="873">
        <v>4</v>
      </c>
      <c r="F26" s="113">
        <f>IF(COUNTIF(F28:F36,"&gt;37")=0,0,COUNTIF(F28:F36,"&gt;37")-1)</f>
        <v>3</v>
      </c>
      <c r="H26" s="113">
        <f>IF(COUNTIF(H28:H36,"&gt;37")=0,0,COUNTIF(H28:H36,"&gt;37")-1)</f>
        <v>1</v>
      </c>
      <c r="I26" s="469">
        <v>1</v>
      </c>
      <c r="J26" s="470">
        <v>2</v>
      </c>
      <c r="K26" s="471">
        <v>3</v>
      </c>
      <c r="L26" s="872">
        <v>4</v>
      </c>
      <c r="O26" s="585">
        <v>1</v>
      </c>
      <c r="P26" s="586">
        <v>2</v>
      </c>
      <c r="Q26" s="587">
        <v>3</v>
      </c>
      <c r="R26" s="873">
        <v>4</v>
      </c>
      <c r="S26" s="113">
        <f>IF(COUNTIF(S28:S36,"&gt;37")=0,0,COUNTIF(S28:S36,"&gt;37")-1)</f>
        <v>1</v>
      </c>
      <c r="U26" s="113">
        <f>IF(COUNTIF(U28:U36,"&gt;37")=0,0,COUNTIF(U28:U36,"&gt;37")-1)</f>
        <v>1</v>
      </c>
      <c r="V26" s="588">
        <v>1</v>
      </c>
      <c r="W26" s="589">
        <v>2</v>
      </c>
      <c r="X26" s="590">
        <v>3</v>
      </c>
      <c r="Y26" s="874">
        <v>4</v>
      </c>
      <c r="AB26" s="588">
        <v>1</v>
      </c>
      <c r="AC26" s="589">
        <v>2</v>
      </c>
      <c r="AD26" s="590">
        <v>3</v>
      </c>
      <c r="AE26" s="874">
        <v>4</v>
      </c>
      <c r="AF26" s="113">
        <f>IF(COUNTIF(AF28:AF36,"&gt;37")=0,0,COUNTIF(AF28:AF36,"&gt;37")-1)</f>
        <v>2</v>
      </c>
      <c r="AH26" s="113">
        <f>IF(COUNTIF(AH28:AH36,"&gt;37")=0,0,COUNTIF(AH28:AH36,"&gt;37")-1)</f>
        <v>0</v>
      </c>
      <c r="AI26" s="585">
        <v>1</v>
      </c>
      <c r="AJ26" s="586">
        <v>2</v>
      </c>
      <c r="AK26" s="587">
        <v>3</v>
      </c>
      <c r="AL26" s="873">
        <v>4</v>
      </c>
      <c r="AO26" s="469">
        <v>1</v>
      </c>
      <c r="AP26" s="470">
        <v>2</v>
      </c>
      <c r="AQ26" s="471">
        <v>3</v>
      </c>
      <c r="AR26" s="872">
        <v>4</v>
      </c>
      <c r="AS26" s="113">
        <f>IF(COUNTIF(AS28:AS36,"&gt;37")=0,0,COUNTIF(AS28:AS36,"&gt;37")-1)</f>
        <v>2</v>
      </c>
      <c r="AU26" s="918">
        <v>0</v>
      </c>
      <c r="AV26" s="585">
        <v>1</v>
      </c>
      <c r="AW26" s="586">
        <v>2</v>
      </c>
      <c r="AX26" s="587">
        <v>3</v>
      </c>
      <c r="AY26" s="873">
        <v>4</v>
      </c>
      <c r="BA26" s="581"/>
      <c r="BB26" s="921">
        <v>1</v>
      </c>
      <c r="BC26" s="922">
        <v>2</v>
      </c>
      <c r="BD26" s="923">
        <v>3</v>
      </c>
      <c r="BE26" s="924">
        <v>4</v>
      </c>
      <c r="BF26" s="113">
        <f>IF(COUNTIF(BF28:BF36,"&gt;37")=0,0,COUNTIF(BF28:BF36,"&gt;37")-1)</f>
        <v>2</v>
      </c>
      <c r="BH26" s="113">
        <f>IF(COUNTIF(BH28:BH36,"&gt;37")=0,0,COUNTIF(BH28:BH36,"&gt;37")-1)</f>
        <v>0</v>
      </c>
      <c r="BI26" s="585">
        <v>1</v>
      </c>
      <c r="BJ26" s="586">
        <v>2</v>
      </c>
      <c r="BK26" s="587">
        <v>3</v>
      </c>
      <c r="BL26" s="873">
        <v>4</v>
      </c>
      <c r="BM26" s="111"/>
    </row>
    <row r="27" spans="1:65" s="596" customFormat="1" ht="60.75">
      <c r="A27" s="591"/>
      <c r="B27" s="925" t="s">
        <v>120</v>
      </c>
      <c r="C27" s="925" t="s">
        <v>121</v>
      </c>
      <c r="D27" s="926" t="s">
        <v>118</v>
      </c>
      <c r="E27" s="592" t="s">
        <v>119</v>
      </c>
      <c r="F27" s="928"/>
      <c r="G27" s="642"/>
      <c r="I27" s="473" t="s">
        <v>1</v>
      </c>
      <c r="J27" s="474" t="s">
        <v>104</v>
      </c>
      <c r="K27" s="475" t="s">
        <v>53</v>
      </c>
      <c r="L27" s="476" t="s">
        <v>96</v>
      </c>
      <c r="M27" s="641"/>
      <c r="N27" s="591"/>
      <c r="O27" s="925" t="s">
        <v>1</v>
      </c>
      <c r="P27" s="925" t="s">
        <v>104</v>
      </c>
      <c r="Q27" s="926" t="s">
        <v>53</v>
      </c>
      <c r="R27" s="592" t="s">
        <v>96</v>
      </c>
      <c r="S27" s="593"/>
      <c r="T27" s="642"/>
      <c r="U27" s="593"/>
      <c r="V27" s="594" t="s">
        <v>121</v>
      </c>
      <c r="W27" s="594" t="s">
        <v>118</v>
      </c>
      <c r="X27" s="594" t="s">
        <v>119</v>
      </c>
      <c r="Y27" s="594" t="s">
        <v>120</v>
      </c>
      <c r="Z27" s="641"/>
      <c r="AA27" s="591"/>
      <c r="AB27" s="594" t="s">
        <v>119</v>
      </c>
      <c r="AC27" s="594" t="s">
        <v>120</v>
      </c>
      <c r="AD27" s="594" t="s">
        <v>121</v>
      </c>
      <c r="AE27" s="594" t="s">
        <v>118</v>
      </c>
      <c r="AF27" s="928"/>
      <c r="AG27" s="642"/>
      <c r="AI27" s="925" t="s">
        <v>1</v>
      </c>
      <c r="AJ27" s="925" t="s">
        <v>104</v>
      </c>
      <c r="AK27" s="926" t="s">
        <v>53</v>
      </c>
      <c r="AL27" s="592" t="s">
        <v>96</v>
      </c>
      <c r="AM27" s="641"/>
      <c r="AN27" s="591"/>
      <c r="AO27" s="473" t="s">
        <v>1</v>
      </c>
      <c r="AP27" s="474" t="s">
        <v>104</v>
      </c>
      <c r="AQ27" s="475" t="s">
        <v>53</v>
      </c>
      <c r="AR27" s="476" t="s">
        <v>96</v>
      </c>
      <c r="AS27" s="593"/>
      <c r="AT27" s="642"/>
      <c r="AU27" s="593"/>
      <c r="AV27" s="925" t="s">
        <v>121</v>
      </c>
      <c r="AW27" s="926" t="s">
        <v>118</v>
      </c>
      <c r="AX27" s="592" t="s">
        <v>119</v>
      </c>
      <c r="AY27" s="592" t="s">
        <v>120</v>
      </c>
      <c r="AZ27" s="641"/>
      <c r="BA27" s="591"/>
      <c r="BB27" s="929" t="s">
        <v>121</v>
      </c>
      <c r="BC27" s="930" t="s">
        <v>118</v>
      </c>
      <c r="BD27" s="930" t="s">
        <v>119</v>
      </c>
      <c r="BE27" s="931" t="s">
        <v>120</v>
      </c>
      <c r="BF27" s="593"/>
      <c r="BG27" s="642"/>
      <c r="BH27" s="593"/>
      <c r="BI27" s="925" t="s">
        <v>1</v>
      </c>
      <c r="BJ27" s="925" t="s">
        <v>104</v>
      </c>
      <c r="BK27" s="926" t="s">
        <v>53</v>
      </c>
      <c r="BL27" s="592" t="s">
        <v>96</v>
      </c>
      <c r="BM27" s="641"/>
    </row>
    <row r="28" spans="1:65" ht="15.75">
      <c r="A28" s="118">
        <v>1</v>
      </c>
      <c r="B28" s="108">
        <v>12</v>
      </c>
      <c r="C28" s="117"/>
      <c r="D28" s="117"/>
      <c r="E28" s="119"/>
      <c r="F28" s="120">
        <f>SUM($B$28:E28)</f>
        <v>12</v>
      </c>
      <c r="G28" s="595">
        <f>F28-H28</f>
        <v>10</v>
      </c>
      <c r="H28" s="120">
        <f>SUM($I$28:L28)</f>
        <v>2</v>
      </c>
      <c r="I28" s="121">
        <v>2</v>
      </c>
      <c r="J28" s="117"/>
      <c r="K28" s="117"/>
      <c r="L28" s="107"/>
      <c r="N28" s="118">
        <v>1</v>
      </c>
      <c r="O28" s="108">
        <v>12</v>
      </c>
      <c r="P28" s="117"/>
      <c r="Q28" s="117"/>
      <c r="R28" s="119"/>
      <c r="S28" s="120">
        <f>SUM($O$28:R28)</f>
        <v>12</v>
      </c>
      <c r="T28" s="595">
        <f t="shared" ref="T28:T33" si="4">S28-U28</f>
        <v>6</v>
      </c>
      <c r="U28" s="120">
        <f>SUM($V$28:Y28)</f>
        <v>6</v>
      </c>
      <c r="V28" s="121">
        <v>6</v>
      </c>
      <c r="W28" s="117"/>
      <c r="X28" s="117"/>
      <c r="Y28" s="107"/>
      <c r="AA28" s="118">
        <v>1</v>
      </c>
      <c r="AB28" s="108">
        <v>11</v>
      </c>
      <c r="AC28" s="117"/>
      <c r="AD28" s="117"/>
      <c r="AE28" s="119"/>
      <c r="AF28" s="120">
        <f>SUM($AB$28:AE28)</f>
        <v>11</v>
      </c>
      <c r="AG28" s="595">
        <f>AF28-AH28</f>
        <v>4</v>
      </c>
      <c r="AH28" s="120">
        <f>SUM($AI$28:AL28)</f>
        <v>7</v>
      </c>
      <c r="AI28" s="121">
        <v>7</v>
      </c>
      <c r="AJ28" s="117"/>
      <c r="AK28" s="117"/>
      <c r="AL28" s="107"/>
      <c r="AN28" s="118">
        <v>1</v>
      </c>
      <c r="AO28" s="108">
        <v>12</v>
      </c>
      <c r="AP28" s="117"/>
      <c r="AQ28" s="117"/>
      <c r="AR28" s="119"/>
      <c r="AS28" s="120">
        <f>SUM($AO$28:AR28)</f>
        <v>12</v>
      </c>
      <c r="AT28" s="595">
        <f>AS28-AU28</f>
        <v>12</v>
      </c>
      <c r="AU28" s="120">
        <f>SUM($AV$28:AY28)</f>
        <v>0</v>
      </c>
      <c r="AV28" s="121" t="s">
        <v>2</v>
      </c>
      <c r="AW28" s="117"/>
      <c r="AX28" s="117"/>
      <c r="AY28" s="107"/>
      <c r="BA28" s="118">
        <v>1</v>
      </c>
      <c r="BB28" s="108">
        <v>11</v>
      </c>
      <c r="BC28" s="117"/>
      <c r="BD28" s="117"/>
      <c r="BE28" s="119"/>
      <c r="BF28" s="120">
        <f>SUM($BB$28:BE28)</f>
        <v>11</v>
      </c>
      <c r="BG28" s="595">
        <f>BF28-BH28</f>
        <v>4</v>
      </c>
      <c r="BH28" s="120">
        <f>SUM($BI$28:BL28)</f>
        <v>7</v>
      </c>
      <c r="BI28" s="121">
        <v>7</v>
      </c>
      <c r="BJ28" s="117"/>
      <c r="BK28" s="117"/>
      <c r="BL28" s="107"/>
      <c r="BM28" s="111"/>
    </row>
    <row r="29" spans="1:65" ht="15.75">
      <c r="A29" s="122">
        <v>2</v>
      </c>
      <c r="B29" s="117"/>
      <c r="C29" s="108">
        <v>10</v>
      </c>
      <c r="D29" s="117"/>
      <c r="E29" s="114"/>
      <c r="F29" s="120">
        <f>SUM($B$28:E29)</f>
        <v>22</v>
      </c>
      <c r="G29" s="595">
        <f t="shared" ref="G29:G36" si="5">F29-H29</f>
        <v>10</v>
      </c>
      <c r="H29" s="120">
        <f>SUM($I$28:L29)</f>
        <v>12</v>
      </c>
      <c r="I29" s="123"/>
      <c r="J29" s="108">
        <v>10</v>
      </c>
      <c r="K29" s="117"/>
      <c r="L29" s="117"/>
      <c r="N29" s="122">
        <v>2</v>
      </c>
      <c r="O29" s="117"/>
      <c r="P29" s="108">
        <v>10</v>
      </c>
      <c r="Q29" s="117"/>
      <c r="R29" s="114"/>
      <c r="S29" s="120">
        <f>SUM($O$28:R29)</f>
        <v>22</v>
      </c>
      <c r="T29" s="595">
        <f t="shared" si="4"/>
        <v>6</v>
      </c>
      <c r="U29" s="120">
        <f>SUM($V$28:Y29)</f>
        <v>16</v>
      </c>
      <c r="V29" s="123"/>
      <c r="W29" s="108">
        <v>10</v>
      </c>
      <c r="X29" s="117"/>
      <c r="Y29" s="117"/>
      <c r="AA29" s="122">
        <v>2</v>
      </c>
      <c r="AB29" s="117"/>
      <c r="AC29" s="108">
        <v>8</v>
      </c>
      <c r="AD29" s="117"/>
      <c r="AE29" s="114"/>
      <c r="AF29" s="120">
        <f>SUM($AB$28:AE29)</f>
        <v>19</v>
      </c>
      <c r="AG29" s="595">
        <f t="shared" ref="AG29:AG34" si="6">AF29-AH29</f>
        <v>5</v>
      </c>
      <c r="AH29" s="120">
        <f>SUM($AI$28:AL29)</f>
        <v>14</v>
      </c>
      <c r="AI29" s="123"/>
      <c r="AJ29" s="108">
        <v>7</v>
      </c>
      <c r="AK29" s="117"/>
      <c r="AL29" s="117"/>
      <c r="AN29" s="122">
        <v>2</v>
      </c>
      <c r="AO29" s="117"/>
      <c r="AP29" s="108">
        <v>8</v>
      </c>
      <c r="AQ29" s="117"/>
      <c r="AR29" s="114"/>
      <c r="AS29" s="120">
        <f>SUM($AO$28:AR29)</f>
        <v>20</v>
      </c>
      <c r="AT29" s="595">
        <f t="shared" ref="AT29:AT36" si="7">AS29-AU29</f>
        <v>12</v>
      </c>
      <c r="AU29" s="120">
        <f>SUM($AV$28:AY29)</f>
        <v>8</v>
      </c>
      <c r="AV29" s="123"/>
      <c r="AW29" s="108">
        <v>8</v>
      </c>
      <c r="AX29" s="117"/>
      <c r="AY29" s="117"/>
      <c r="BA29" s="122">
        <v>2</v>
      </c>
      <c r="BB29" s="117"/>
      <c r="BC29" s="108">
        <v>10</v>
      </c>
      <c r="BD29" s="117"/>
      <c r="BE29" s="114"/>
      <c r="BF29" s="120">
        <f>SUM($BB$28:BE29)</f>
        <v>21</v>
      </c>
      <c r="BG29" s="595">
        <f t="shared" ref="BG29:BG35" si="8">BF29-BH29</f>
        <v>11</v>
      </c>
      <c r="BH29" s="120">
        <f>SUM($BI$28:BL29)</f>
        <v>10</v>
      </c>
      <c r="BI29" s="123"/>
      <c r="BJ29" s="108">
        <v>3</v>
      </c>
      <c r="BK29" s="117"/>
      <c r="BL29" s="117"/>
      <c r="BM29" s="111"/>
    </row>
    <row r="30" spans="1:65" ht="15.75">
      <c r="A30" s="122">
        <v>3</v>
      </c>
      <c r="B30" s="108"/>
      <c r="C30" s="117"/>
      <c r="D30" s="117">
        <v>10</v>
      </c>
      <c r="E30" s="119"/>
      <c r="F30" s="120">
        <f>SUM($B$28:E30)</f>
        <v>32</v>
      </c>
      <c r="G30" s="595">
        <f t="shared" si="5"/>
        <v>13</v>
      </c>
      <c r="H30" s="120">
        <f>SUM($I$28:L30)</f>
        <v>19</v>
      </c>
      <c r="I30" s="121"/>
      <c r="J30" s="117"/>
      <c r="K30" s="117">
        <v>7</v>
      </c>
      <c r="L30" s="107"/>
      <c r="N30" s="122">
        <v>3</v>
      </c>
      <c r="O30" s="108"/>
      <c r="P30" s="117"/>
      <c r="Q30" s="117">
        <v>10</v>
      </c>
      <c r="R30" s="119"/>
      <c r="S30" s="120">
        <f>SUM($O$28:R30)</f>
        <v>32</v>
      </c>
      <c r="T30" s="595">
        <f t="shared" si="4"/>
        <v>6</v>
      </c>
      <c r="U30" s="120">
        <f>SUM($V$28:Y30)</f>
        <v>26</v>
      </c>
      <c r="V30" s="121"/>
      <c r="W30" s="117"/>
      <c r="X30" s="117">
        <v>10</v>
      </c>
      <c r="Y30" s="107"/>
      <c r="AA30" s="122">
        <v>3</v>
      </c>
      <c r="AB30" s="108"/>
      <c r="AC30" s="117"/>
      <c r="AD30" s="117">
        <v>7</v>
      </c>
      <c r="AE30" s="119"/>
      <c r="AF30" s="120">
        <f>SUM($AB$28:AE30)</f>
        <v>26</v>
      </c>
      <c r="AG30" s="595">
        <f t="shared" si="6"/>
        <v>12</v>
      </c>
      <c r="AH30" s="120">
        <f>SUM($AI$28:AL30)</f>
        <v>14</v>
      </c>
      <c r="AI30" s="121"/>
      <c r="AJ30" s="117"/>
      <c r="AK30" s="117" t="s">
        <v>2</v>
      </c>
      <c r="AL30" s="107"/>
      <c r="AN30" s="122">
        <v>3</v>
      </c>
      <c r="AO30" s="108"/>
      <c r="AP30" s="117"/>
      <c r="AQ30" s="117" t="s">
        <v>2</v>
      </c>
      <c r="AR30" s="119"/>
      <c r="AS30" s="120">
        <f>SUM($AO$28:AR30)</f>
        <v>20</v>
      </c>
      <c r="AT30" s="595">
        <f t="shared" si="7"/>
        <v>6</v>
      </c>
      <c r="AU30" s="120">
        <f>SUM($AV$28:AY30)</f>
        <v>14</v>
      </c>
      <c r="AV30" s="121"/>
      <c r="AW30" s="117"/>
      <c r="AX30" s="117">
        <v>6</v>
      </c>
      <c r="AY30" s="107"/>
      <c r="BA30" s="122">
        <v>3</v>
      </c>
      <c r="BB30" s="108"/>
      <c r="BC30" s="117"/>
      <c r="BD30" s="117" t="s">
        <v>2</v>
      </c>
      <c r="BE30" s="119"/>
      <c r="BF30" s="120">
        <f>SUM($BB$28:BE30)</f>
        <v>21</v>
      </c>
      <c r="BG30" s="595">
        <f t="shared" si="8"/>
        <v>1</v>
      </c>
      <c r="BH30" s="120">
        <f>SUM($BI$28:BL30)</f>
        <v>20</v>
      </c>
      <c r="BI30" s="121"/>
      <c r="BJ30" s="117"/>
      <c r="BK30" s="117">
        <v>10</v>
      </c>
      <c r="BL30" s="107"/>
      <c r="BM30" s="111"/>
    </row>
    <row r="31" spans="1:65" ht="15.75">
      <c r="A31" s="122">
        <v>4</v>
      </c>
      <c r="B31" s="117"/>
      <c r="C31" s="108"/>
      <c r="D31" s="117"/>
      <c r="E31" s="114" t="s">
        <v>2</v>
      </c>
      <c r="F31" s="120">
        <f>SUM($B$28:E31)</f>
        <v>32</v>
      </c>
      <c r="G31" s="595">
        <f t="shared" si="5"/>
        <v>6</v>
      </c>
      <c r="H31" s="120">
        <f>SUM($I$28:L31)</f>
        <v>26</v>
      </c>
      <c r="I31" s="123"/>
      <c r="J31" s="108"/>
      <c r="K31" s="117"/>
      <c r="L31" s="117">
        <v>7</v>
      </c>
      <c r="N31" s="122">
        <v>4</v>
      </c>
      <c r="O31" s="117"/>
      <c r="P31" s="108"/>
      <c r="Q31" s="117"/>
      <c r="R31" s="114">
        <v>4</v>
      </c>
      <c r="S31" s="120">
        <f>SUM($O$28:R31)</f>
        <v>36</v>
      </c>
      <c r="T31" s="595">
        <f t="shared" si="4"/>
        <v>5</v>
      </c>
      <c r="U31" s="120">
        <f>SUM($V$28:Y31)</f>
        <v>31</v>
      </c>
      <c r="V31" s="123"/>
      <c r="W31" s="108"/>
      <c r="X31" s="117"/>
      <c r="Y31" s="117">
        <v>5</v>
      </c>
      <c r="AA31" s="122">
        <v>4</v>
      </c>
      <c r="AB31" s="117"/>
      <c r="AC31" s="108"/>
      <c r="AD31" s="117"/>
      <c r="AE31" s="114">
        <v>6</v>
      </c>
      <c r="AF31" s="120">
        <f>SUM($AB$28:AE31)</f>
        <v>32</v>
      </c>
      <c r="AG31" s="595">
        <f t="shared" si="6"/>
        <v>11</v>
      </c>
      <c r="AH31" s="120">
        <f>SUM($AI$28:AL31)</f>
        <v>21</v>
      </c>
      <c r="AI31" s="123"/>
      <c r="AJ31" s="108"/>
      <c r="AK31" s="117"/>
      <c r="AL31" s="117">
        <v>7</v>
      </c>
      <c r="AN31" s="122">
        <v>4</v>
      </c>
      <c r="AO31" s="117"/>
      <c r="AP31" s="108"/>
      <c r="AQ31" s="117"/>
      <c r="AR31" s="114">
        <v>6</v>
      </c>
      <c r="AS31" s="120">
        <f>SUM($AO$28:AR31)</f>
        <v>26</v>
      </c>
      <c r="AT31" s="595">
        <f t="shared" si="7"/>
        <v>1</v>
      </c>
      <c r="AU31" s="120">
        <f>SUM($AV$28:AY31)</f>
        <v>25</v>
      </c>
      <c r="AV31" s="123"/>
      <c r="AW31" s="108"/>
      <c r="AX31" s="117"/>
      <c r="AY31" s="117">
        <v>11</v>
      </c>
      <c r="BA31" s="122">
        <v>4</v>
      </c>
      <c r="BB31" s="117"/>
      <c r="BC31" s="108"/>
      <c r="BD31" s="117"/>
      <c r="BE31" s="114">
        <v>3</v>
      </c>
      <c r="BF31" s="120">
        <f>SUM($BB$28:BE31)</f>
        <v>24</v>
      </c>
      <c r="BG31" s="595">
        <f t="shared" si="8"/>
        <v>-2</v>
      </c>
      <c r="BH31" s="120">
        <f>SUM($BI$28:BL31)</f>
        <v>26</v>
      </c>
      <c r="BI31" s="123"/>
      <c r="BJ31" s="108"/>
      <c r="BK31" s="117"/>
      <c r="BL31" s="117">
        <v>6</v>
      </c>
      <c r="BM31" s="111"/>
    </row>
    <row r="32" spans="1:65" ht="15.75">
      <c r="A32" s="122">
        <v>5</v>
      </c>
      <c r="B32" s="108">
        <v>5</v>
      </c>
      <c r="C32" s="117"/>
      <c r="D32" s="117"/>
      <c r="E32" s="119"/>
      <c r="F32" s="120">
        <f>SUM($B$28:E32)</f>
        <v>37</v>
      </c>
      <c r="G32" s="595">
        <f t="shared" si="5"/>
        <v>11</v>
      </c>
      <c r="H32" s="120">
        <f>SUM($I$28:L32)</f>
        <v>26</v>
      </c>
      <c r="I32" s="121" t="s">
        <v>2</v>
      </c>
      <c r="J32" s="117"/>
      <c r="K32" s="117"/>
      <c r="L32" s="107"/>
      <c r="N32" s="122">
        <v>5</v>
      </c>
      <c r="O32" s="108">
        <v>6</v>
      </c>
      <c r="P32" s="117"/>
      <c r="Q32" s="117"/>
      <c r="R32" s="119"/>
      <c r="S32" s="120">
        <f>SUM($O$28:R32)</f>
        <v>42</v>
      </c>
      <c r="T32" s="595">
        <f t="shared" si="4"/>
        <v>2</v>
      </c>
      <c r="U32" s="120">
        <f>SUM($V$28:Y32)</f>
        <v>40</v>
      </c>
      <c r="V32" s="121">
        <v>9</v>
      </c>
      <c r="W32" s="117"/>
      <c r="X32" s="117"/>
      <c r="Y32" s="107"/>
      <c r="AA32" s="122">
        <v>5</v>
      </c>
      <c r="AB32" s="108">
        <v>6</v>
      </c>
      <c r="AC32" s="117"/>
      <c r="AD32" s="117"/>
      <c r="AE32" s="119"/>
      <c r="AF32" s="120">
        <f>SUM($AB$28:AE32)</f>
        <v>38</v>
      </c>
      <c r="AG32" s="595">
        <f t="shared" si="6"/>
        <v>11</v>
      </c>
      <c r="AH32" s="120">
        <f>SUM($AI$28:AL32)</f>
        <v>27</v>
      </c>
      <c r="AI32" s="121">
        <v>6</v>
      </c>
      <c r="AJ32" s="117"/>
      <c r="AK32" s="117"/>
      <c r="AL32" s="107"/>
      <c r="AN32" s="122">
        <v>5</v>
      </c>
      <c r="AO32" s="108" t="s">
        <v>2</v>
      </c>
      <c r="AP32" s="117"/>
      <c r="AQ32" s="117"/>
      <c r="AR32" s="119"/>
      <c r="AS32" s="120">
        <f>SUM($AO$28:AR32)</f>
        <v>26</v>
      </c>
      <c r="AT32" s="595">
        <f t="shared" si="7"/>
        <v>1</v>
      </c>
      <c r="AU32" s="120">
        <f>SUM($AV$28:AY32)</f>
        <v>25</v>
      </c>
      <c r="AV32" s="121" t="s">
        <v>2</v>
      </c>
      <c r="AW32" s="117"/>
      <c r="AX32" s="117"/>
      <c r="AY32" s="107"/>
      <c r="BA32" s="122">
        <v>5</v>
      </c>
      <c r="BB32" s="108">
        <v>7</v>
      </c>
      <c r="BC32" s="117"/>
      <c r="BD32" s="117"/>
      <c r="BE32" s="119"/>
      <c r="BF32" s="120">
        <f>SUM($BB$28:BE32)</f>
        <v>31</v>
      </c>
      <c r="BG32" s="595">
        <f t="shared" si="8"/>
        <v>-2</v>
      </c>
      <c r="BH32" s="120">
        <f>SUM($BI$28:BL32)</f>
        <v>33</v>
      </c>
      <c r="BI32" s="121">
        <v>7</v>
      </c>
      <c r="BJ32" s="117"/>
      <c r="BK32" s="117"/>
      <c r="BL32" s="107"/>
      <c r="BM32" s="111"/>
    </row>
    <row r="33" spans="1:65" ht="15.75">
      <c r="A33" s="122">
        <v>6</v>
      </c>
      <c r="B33" s="117"/>
      <c r="C33" s="108">
        <v>5</v>
      </c>
      <c r="D33" s="117"/>
      <c r="E33" s="114"/>
      <c r="F33" s="120">
        <f>SUM($B$28:E33)</f>
        <v>42</v>
      </c>
      <c r="G33" s="595">
        <f t="shared" si="5"/>
        <v>12</v>
      </c>
      <c r="H33" s="120">
        <f>SUM($I$28:L33)</f>
        <v>30</v>
      </c>
      <c r="I33" s="123"/>
      <c r="J33" s="108">
        <v>4</v>
      </c>
      <c r="K33" s="117"/>
      <c r="L33" s="117"/>
      <c r="N33" s="122">
        <v>6</v>
      </c>
      <c r="O33" s="117"/>
      <c r="P33" s="108">
        <v>2</v>
      </c>
      <c r="Q33" s="117"/>
      <c r="R33" s="114"/>
      <c r="S33" s="120">
        <f>SUM($O$28:R33)</f>
        <v>44</v>
      </c>
      <c r="T33" s="595">
        <f t="shared" si="4"/>
        <v>-6</v>
      </c>
      <c r="U33" s="120">
        <f>SUM($V$28:Y33)</f>
        <v>50</v>
      </c>
      <c r="V33" s="123"/>
      <c r="W33" s="565">
        <v>10</v>
      </c>
      <c r="X33" s="117"/>
      <c r="Y33" s="117"/>
      <c r="AA33" s="122">
        <v>6</v>
      </c>
      <c r="AB33" s="117"/>
      <c r="AC33" s="108">
        <v>7</v>
      </c>
      <c r="AD33" s="117"/>
      <c r="AE33" s="114"/>
      <c r="AF33" s="120">
        <f>SUM($AB$28:AE33)</f>
        <v>45</v>
      </c>
      <c r="AG33" s="595">
        <f t="shared" si="6"/>
        <v>13</v>
      </c>
      <c r="AH33" s="120">
        <f>SUM($AI$28:AL33)</f>
        <v>32</v>
      </c>
      <c r="AI33" s="123"/>
      <c r="AJ33" s="108">
        <v>5</v>
      </c>
      <c r="AK33" s="117"/>
      <c r="AL33" s="117"/>
      <c r="AN33" s="122">
        <v>6</v>
      </c>
      <c r="AO33" s="117"/>
      <c r="AP33" s="108">
        <v>3</v>
      </c>
      <c r="AQ33" s="117"/>
      <c r="AR33" s="114"/>
      <c r="AS33" s="120">
        <f>SUM($AO$28:AR33)</f>
        <v>29</v>
      </c>
      <c r="AT33" s="595">
        <f t="shared" si="7"/>
        <v>-2</v>
      </c>
      <c r="AU33" s="120">
        <f>SUM($AV$28:AY33)</f>
        <v>31</v>
      </c>
      <c r="AV33" s="123"/>
      <c r="AW33" s="108">
        <v>6</v>
      </c>
      <c r="AX33" s="117"/>
      <c r="AY33" s="117"/>
      <c r="BA33" s="122">
        <v>6</v>
      </c>
      <c r="BB33" s="117"/>
      <c r="BC33" s="108">
        <v>7</v>
      </c>
      <c r="BD33" s="117"/>
      <c r="BE33" s="114"/>
      <c r="BF33" s="120">
        <f>SUM($BB$28:BE33)</f>
        <v>38</v>
      </c>
      <c r="BG33" s="595">
        <f t="shared" si="8"/>
        <v>5</v>
      </c>
      <c r="BH33" s="120">
        <f>SUM($BI$28:BL33)</f>
        <v>33</v>
      </c>
      <c r="BI33" s="123"/>
      <c r="BJ33" s="108" t="s">
        <v>2</v>
      </c>
      <c r="BK33" s="117"/>
      <c r="BL33" s="117"/>
      <c r="BM33" s="111"/>
    </row>
    <row r="34" spans="1:65" ht="15.75">
      <c r="A34" s="122">
        <v>7</v>
      </c>
      <c r="B34" s="108"/>
      <c r="C34" s="117"/>
      <c r="D34" s="117">
        <v>2</v>
      </c>
      <c r="E34" s="119"/>
      <c r="F34" s="120">
        <f>SUM($B$28:E34)</f>
        <v>44</v>
      </c>
      <c r="G34" s="595">
        <f t="shared" si="5"/>
        <v>8</v>
      </c>
      <c r="H34" s="120">
        <f>SUM($I$28:L34)</f>
        <v>36</v>
      </c>
      <c r="I34" s="121"/>
      <c r="J34" s="117"/>
      <c r="K34" s="117">
        <v>6</v>
      </c>
      <c r="L34" s="107"/>
      <c r="P34" s="583"/>
      <c r="S34" s="583"/>
      <c r="V34" s="582"/>
      <c r="W34" s="583"/>
      <c r="X34" s="582"/>
      <c r="Y34" s="583"/>
      <c r="AA34" s="122">
        <v>7</v>
      </c>
      <c r="AB34" s="108"/>
      <c r="AC34" s="117"/>
      <c r="AD34" s="565">
        <v>5</v>
      </c>
      <c r="AE34" s="119"/>
      <c r="AF34" s="120">
        <f>SUM($AB$28:AE34)</f>
        <v>50</v>
      </c>
      <c r="AG34" s="595">
        <f t="shared" si="6"/>
        <v>18</v>
      </c>
      <c r="AH34" s="120">
        <f>SUM($AI$28:AL34)</f>
        <v>32</v>
      </c>
      <c r="AI34" s="121"/>
      <c r="AJ34" s="117"/>
      <c r="AK34" s="117"/>
      <c r="AL34" s="107"/>
      <c r="AN34" s="122">
        <v>7</v>
      </c>
      <c r="AO34" s="108"/>
      <c r="AP34" s="117"/>
      <c r="AQ34" s="117">
        <v>11</v>
      </c>
      <c r="AR34" s="107"/>
      <c r="AS34" s="120">
        <f>SUM($AO$28:AR34)</f>
        <v>40</v>
      </c>
      <c r="AT34" s="595">
        <f t="shared" si="7"/>
        <v>9</v>
      </c>
      <c r="AU34" s="120">
        <f>SUM($AV$28:AY34)</f>
        <v>31</v>
      </c>
      <c r="AV34" s="121"/>
      <c r="AW34" s="117"/>
      <c r="AX34" s="117" t="s">
        <v>2</v>
      </c>
      <c r="AY34" s="107"/>
      <c r="BA34" s="122">
        <v>7</v>
      </c>
      <c r="BB34" s="108"/>
      <c r="BC34" s="117"/>
      <c r="BD34" s="117">
        <v>6</v>
      </c>
      <c r="BE34" s="107"/>
      <c r="BF34" s="120">
        <f>SUM($BB$28:BE34)</f>
        <v>44</v>
      </c>
      <c r="BG34" s="595">
        <f t="shared" si="8"/>
        <v>11</v>
      </c>
      <c r="BH34" s="120">
        <f>SUM($BI$28:BL34)</f>
        <v>33</v>
      </c>
      <c r="BI34" s="121"/>
      <c r="BJ34" s="117"/>
      <c r="BK34" s="117" t="s">
        <v>2</v>
      </c>
      <c r="BL34" s="107"/>
      <c r="BM34" s="111"/>
    </row>
    <row r="35" spans="1:65" ht="15.75">
      <c r="A35" s="122">
        <v>8</v>
      </c>
      <c r="B35" s="117"/>
      <c r="C35" s="108"/>
      <c r="D35" s="117"/>
      <c r="E35" s="114" t="s">
        <v>2</v>
      </c>
      <c r="F35" s="120">
        <f>SUM($B$28:E35)</f>
        <v>44</v>
      </c>
      <c r="G35" s="595">
        <f t="shared" si="5"/>
        <v>5</v>
      </c>
      <c r="H35" s="120">
        <f>SUM($I$28:L35)</f>
        <v>39</v>
      </c>
      <c r="I35" s="123"/>
      <c r="J35" s="108"/>
      <c r="K35" s="117"/>
      <c r="L35" s="117">
        <v>3</v>
      </c>
      <c r="P35" s="583"/>
      <c r="S35" s="583"/>
      <c r="V35" s="582"/>
      <c r="W35" s="583"/>
      <c r="X35" s="582"/>
      <c r="Y35" s="583"/>
      <c r="AC35" s="583"/>
      <c r="AI35" s="582"/>
      <c r="AJ35" s="583"/>
      <c r="AK35" s="582"/>
      <c r="AL35" s="583"/>
      <c r="AN35" s="118">
        <v>8</v>
      </c>
      <c r="AO35" s="108"/>
      <c r="AP35" s="117"/>
      <c r="AQ35" s="117"/>
      <c r="AR35" s="119">
        <v>5</v>
      </c>
      <c r="AS35" s="120">
        <f>SUM($AO$28:AR35)</f>
        <v>45</v>
      </c>
      <c r="AT35" s="595">
        <f t="shared" si="7"/>
        <v>7</v>
      </c>
      <c r="AU35" s="120">
        <f>SUM($AV$28:AY35)</f>
        <v>38</v>
      </c>
      <c r="AV35" s="121"/>
      <c r="AW35" s="117"/>
      <c r="AX35" s="117"/>
      <c r="AY35" s="107">
        <v>7</v>
      </c>
      <c r="BA35" s="118">
        <v>8</v>
      </c>
      <c r="BB35" s="108"/>
      <c r="BC35" s="117"/>
      <c r="BD35" s="117"/>
      <c r="BE35" s="1431">
        <v>6</v>
      </c>
      <c r="BF35" s="120">
        <f>SUM($BB$28:BE35)</f>
        <v>50</v>
      </c>
      <c r="BG35" s="595">
        <f t="shared" si="8"/>
        <v>17</v>
      </c>
      <c r="BH35" s="120">
        <f>SUM($BI$28:BL35)</f>
        <v>33</v>
      </c>
      <c r="BI35" s="121"/>
      <c r="BJ35" s="117"/>
      <c r="BK35" s="117"/>
      <c r="BL35" s="107"/>
      <c r="BM35" s="111"/>
    </row>
    <row r="36" spans="1:65" ht="15.75">
      <c r="A36" s="122">
        <v>9</v>
      </c>
      <c r="B36" s="117" t="s">
        <v>2</v>
      </c>
      <c r="C36" s="108"/>
      <c r="D36" s="117"/>
      <c r="E36" s="114"/>
      <c r="F36" s="120">
        <f>SUM($B$28:E36)</f>
        <v>44</v>
      </c>
      <c r="G36" s="595">
        <f t="shared" si="5"/>
        <v>-6</v>
      </c>
      <c r="H36" s="120">
        <f>SUM($I$28:L36)</f>
        <v>50</v>
      </c>
      <c r="I36" s="1430">
        <v>11</v>
      </c>
      <c r="J36" s="108"/>
      <c r="K36" s="117"/>
      <c r="L36" s="117"/>
      <c r="P36" s="583"/>
      <c r="S36" s="583"/>
      <c r="V36" s="582"/>
      <c r="W36" s="583"/>
      <c r="X36" s="582"/>
      <c r="Y36" s="583"/>
      <c r="AC36" s="583"/>
      <c r="AI36" s="582"/>
      <c r="AJ36" s="583"/>
      <c r="AK36" s="582"/>
      <c r="AL36" s="583"/>
      <c r="AN36" s="118">
        <v>9</v>
      </c>
      <c r="AO36" s="565">
        <v>5</v>
      </c>
      <c r="AP36" s="117"/>
      <c r="AQ36" s="117"/>
      <c r="AR36" s="119"/>
      <c r="AS36" s="120">
        <f>SUM($AO$28:AR36)</f>
        <v>50</v>
      </c>
      <c r="AT36" s="595">
        <f t="shared" si="7"/>
        <v>12</v>
      </c>
      <c r="AU36" s="120">
        <f>SUM($AV$28:AY36)</f>
        <v>38</v>
      </c>
      <c r="AV36" s="121"/>
      <c r="AW36" s="117"/>
      <c r="AX36" s="117"/>
      <c r="AY36" s="107"/>
      <c r="BA36" s="581"/>
      <c r="BB36" s="582"/>
      <c r="BC36" s="583"/>
      <c r="BD36" s="582"/>
      <c r="BE36" s="583"/>
      <c r="BF36" s="583"/>
      <c r="BI36" s="582"/>
      <c r="BJ36" s="583"/>
      <c r="BK36" s="582"/>
      <c r="BL36" s="583"/>
      <c r="BM36" s="111"/>
    </row>
    <row r="37" spans="1:65">
      <c r="C37" s="583"/>
      <c r="I37" s="582"/>
      <c r="J37" s="583"/>
      <c r="K37" s="582"/>
      <c r="L37" s="583"/>
      <c r="P37" s="583"/>
      <c r="S37" s="583"/>
      <c r="V37" s="582"/>
      <c r="W37" s="583"/>
      <c r="X37" s="582"/>
      <c r="Y37" s="583"/>
      <c r="AC37" s="583"/>
      <c r="AI37" s="582"/>
      <c r="AJ37" s="583"/>
      <c r="AK37" s="582"/>
      <c r="AL37" s="583"/>
      <c r="AP37" s="583"/>
      <c r="AS37" s="583"/>
      <c r="AV37" s="582"/>
      <c r="AW37" s="583"/>
      <c r="AX37" s="582"/>
      <c r="AY37" s="583"/>
      <c r="BA37" s="581"/>
      <c r="BB37" s="582"/>
      <c r="BC37" s="583"/>
      <c r="BD37" s="582"/>
      <c r="BE37" s="583"/>
      <c r="BF37" s="583"/>
      <c r="BI37" s="582"/>
      <c r="BJ37" s="583"/>
      <c r="BK37" s="582"/>
      <c r="BL37" s="583"/>
      <c r="BM37" s="111"/>
    </row>
    <row r="38" spans="1:65" ht="15.75">
      <c r="A38" s="126" t="s">
        <v>3</v>
      </c>
      <c r="B38" s="108">
        <f>SUM(B28:B37)</f>
        <v>17</v>
      </c>
      <c r="C38" s="108">
        <f>SUM(C28:C37)</f>
        <v>15</v>
      </c>
      <c r="D38" s="108">
        <f>SUM(D28:D37)</f>
        <v>12</v>
      </c>
      <c r="E38" s="584">
        <f>SUM(E28:E37)</f>
        <v>0</v>
      </c>
      <c r="F38" s="127">
        <f>MAX(F28:F36)</f>
        <v>44</v>
      </c>
      <c r="H38" s="127">
        <f>MAX(H28:H36)</f>
        <v>50</v>
      </c>
      <c r="I38" s="108">
        <f>SUM(I28:I37)</f>
        <v>13</v>
      </c>
      <c r="J38" s="108">
        <f>SUM(J28:J37)</f>
        <v>14</v>
      </c>
      <c r="K38" s="108">
        <f>SUM(K28:K37)</f>
        <v>13</v>
      </c>
      <c r="L38" s="108">
        <f>SUM(L28:L37)</f>
        <v>10</v>
      </c>
      <c r="N38" s="126" t="s">
        <v>3</v>
      </c>
      <c r="O38" s="108">
        <f>SUM(O28:O37)</f>
        <v>18</v>
      </c>
      <c r="P38" s="108">
        <f>SUM(P28:P37)</f>
        <v>12</v>
      </c>
      <c r="Q38" s="108">
        <f>SUM(Q28:Q37)</f>
        <v>10</v>
      </c>
      <c r="R38" s="108">
        <f>SUM(R28:R37)</f>
        <v>4</v>
      </c>
      <c r="S38" s="127">
        <f>MAX(S28:S36)</f>
        <v>44</v>
      </c>
      <c r="U38" s="127">
        <f>MAX(U28:U36)</f>
        <v>50</v>
      </c>
      <c r="V38" s="108">
        <f>SUM(V28:V37)</f>
        <v>15</v>
      </c>
      <c r="W38" s="584">
        <f>SUM(W28:W37)</f>
        <v>20</v>
      </c>
      <c r="X38" s="108">
        <f>SUM(X28:X37)</f>
        <v>10</v>
      </c>
      <c r="Y38" s="108">
        <f>SUM(Y28:Y37)</f>
        <v>5</v>
      </c>
      <c r="AA38" s="126" t="s">
        <v>3</v>
      </c>
      <c r="AB38" s="108">
        <f>SUM(AB28:AB37)</f>
        <v>17</v>
      </c>
      <c r="AC38" s="108">
        <f>SUM(AC28:AC37)</f>
        <v>15</v>
      </c>
      <c r="AD38" s="108">
        <f>SUM(AD28:AD37)</f>
        <v>12</v>
      </c>
      <c r="AE38" s="584">
        <f>SUM(AE28:AE37)</f>
        <v>6</v>
      </c>
      <c r="AF38" s="127">
        <f>MAX(AF28:AF36)</f>
        <v>50</v>
      </c>
      <c r="AH38" s="127">
        <f>MAX(AH28:AH36)</f>
        <v>32</v>
      </c>
      <c r="AI38" s="108">
        <f>SUM(AI28:AI37)</f>
        <v>13</v>
      </c>
      <c r="AJ38" s="108">
        <f>SUM(AJ28:AJ37)</f>
        <v>12</v>
      </c>
      <c r="AK38" s="108">
        <f>SUM(AK28:AK37)</f>
        <v>0</v>
      </c>
      <c r="AL38" s="108">
        <f>SUM(AL28:AL37)</f>
        <v>7</v>
      </c>
      <c r="AN38" s="126" t="s">
        <v>3</v>
      </c>
      <c r="AO38" s="108">
        <f>SUM(AO28:AO37)</f>
        <v>17</v>
      </c>
      <c r="AP38" s="108">
        <f>SUM(AP28:AP37)</f>
        <v>11</v>
      </c>
      <c r="AQ38" s="108">
        <f>SUM(AQ28:AQ37)</f>
        <v>11</v>
      </c>
      <c r="AR38" s="108">
        <f>SUM(AR28:AR37)</f>
        <v>11</v>
      </c>
      <c r="AS38" s="127">
        <f>MAX(AS28:AS36)</f>
        <v>50</v>
      </c>
      <c r="AU38" s="127">
        <f>MAX(AU28:AU36)</f>
        <v>38</v>
      </c>
      <c r="AV38" s="108">
        <f>SUM(AV28:AV37)</f>
        <v>0</v>
      </c>
      <c r="AW38" s="584">
        <f>SUM(AW28:AW37)</f>
        <v>14</v>
      </c>
      <c r="AX38" s="108">
        <f>SUM(AX28:AX37)</f>
        <v>6</v>
      </c>
      <c r="AY38" s="108">
        <f>SUM(AY28:AY37)</f>
        <v>18</v>
      </c>
      <c r="BA38" s="126" t="s">
        <v>3</v>
      </c>
      <c r="BB38" s="108">
        <f>SUM(BB28:BB37)</f>
        <v>18</v>
      </c>
      <c r="BC38" s="108">
        <f>SUM(BC28:BC37)</f>
        <v>17</v>
      </c>
      <c r="BD38" s="108">
        <f>SUM(BD28:BD37)</f>
        <v>6</v>
      </c>
      <c r="BE38" s="108">
        <f>SUM(BE28:BE37)</f>
        <v>9</v>
      </c>
      <c r="BF38" s="127">
        <f>MAX(BF28:BF36)</f>
        <v>50</v>
      </c>
      <c r="BH38" s="127">
        <f>MAX(BH28:BH36)</f>
        <v>33</v>
      </c>
      <c r="BI38" s="108">
        <f>SUM(BI28:BI37)</f>
        <v>14</v>
      </c>
      <c r="BJ38" s="584">
        <f>SUM(BJ28:BJ37)</f>
        <v>3</v>
      </c>
      <c r="BK38" s="108">
        <f>SUM(BK28:BK37)</f>
        <v>10</v>
      </c>
      <c r="BL38" s="108">
        <f>SUM(BL28:BL37)</f>
        <v>6</v>
      </c>
      <c r="BM38" s="111"/>
    </row>
    <row r="39" spans="1:65" ht="15.75">
      <c r="A39" s="128" t="s">
        <v>4</v>
      </c>
      <c r="B39" s="117">
        <f>COUNTA(B28:B37)</f>
        <v>3</v>
      </c>
      <c r="C39" s="117">
        <f>COUNTA(C28:C37)</f>
        <v>2</v>
      </c>
      <c r="D39" s="117">
        <f>COUNTA(D28:D37)</f>
        <v>2</v>
      </c>
      <c r="E39" s="117">
        <f>COUNTA(E28:E37)</f>
        <v>2</v>
      </c>
      <c r="F39" s="127">
        <f>SUM(B39:E39)</f>
        <v>9</v>
      </c>
      <c r="H39" s="127">
        <f>SUM(I39:L39)</f>
        <v>9</v>
      </c>
      <c r="I39" s="117">
        <f>COUNTA(I28:I37)</f>
        <v>3</v>
      </c>
      <c r="J39" s="117">
        <f>COUNTA(J28:J37)</f>
        <v>2</v>
      </c>
      <c r="K39" s="117">
        <f>COUNTA(K28:K37)</f>
        <v>2</v>
      </c>
      <c r="L39" s="117">
        <f>COUNTA(L28:L37)</f>
        <v>2</v>
      </c>
      <c r="N39" s="128" t="s">
        <v>4</v>
      </c>
      <c r="O39" s="117">
        <f>COUNTA(O28:O37)</f>
        <v>2</v>
      </c>
      <c r="P39" s="117">
        <f>COUNTA(P28:P37)</f>
        <v>2</v>
      </c>
      <c r="Q39" s="117">
        <f>COUNTA(Q28:Q37)</f>
        <v>1</v>
      </c>
      <c r="R39" s="117">
        <f>COUNTA(R28:R37)</f>
        <v>1</v>
      </c>
      <c r="S39" s="127">
        <f>SUM(O39:R39)</f>
        <v>6</v>
      </c>
      <c r="U39" s="127">
        <f>SUM(V39:Y39)</f>
        <v>6</v>
      </c>
      <c r="V39" s="117">
        <f>COUNTA(V28:V37)</f>
        <v>2</v>
      </c>
      <c r="W39" s="117">
        <f>COUNTA(W28:W37)</f>
        <v>2</v>
      </c>
      <c r="X39" s="117">
        <f>COUNTA(X28:X37)</f>
        <v>1</v>
      </c>
      <c r="Y39" s="117">
        <f>COUNTA(Y28:Y37)</f>
        <v>1</v>
      </c>
      <c r="AA39" s="128" t="s">
        <v>4</v>
      </c>
      <c r="AB39" s="117">
        <f>COUNTA(AB28:AB37)</f>
        <v>2</v>
      </c>
      <c r="AC39" s="117">
        <f>COUNTA(AC28:AC37)</f>
        <v>2</v>
      </c>
      <c r="AD39" s="117">
        <f>COUNTA(AD28:AD37)</f>
        <v>2</v>
      </c>
      <c r="AE39" s="117">
        <f>COUNTA(AE28:AE37)</f>
        <v>1</v>
      </c>
      <c r="AF39" s="127">
        <f>SUM(AB39:AE39)</f>
        <v>7</v>
      </c>
      <c r="AH39" s="127">
        <f>SUM(AI39:AL39)</f>
        <v>6</v>
      </c>
      <c r="AI39" s="117">
        <f>COUNTA(AI28:AI37)</f>
        <v>2</v>
      </c>
      <c r="AJ39" s="117">
        <f>COUNTA(AJ28:AJ37)</f>
        <v>2</v>
      </c>
      <c r="AK39" s="117">
        <f>COUNTA(AK28:AK37)</f>
        <v>1</v>
      </c>
      <c r="AL39" s="117">
        <f>COUNTA(AL28:AL37)</f>
        <v>1</v>
      </c>
      <c r="AN39" s="128" t="s">
        <v>4</v>
      </c>
      <c r="AO39" s="117">
        <f>COUNTA(AO28:AO37)</f>
        <v>3</v>
      </c>
      <c r="AP39" s="117">
        <f>COUNTA(AP28:AP37)</f>
        <v>2</v>
      </c>
      <c r="AQ39" s="117">
        <f>COUNTA(AQ28:AQ37)</f>
        <v>2</v>
      </c>
      <c r="AR39" s="117">
        <f>COUNTA(AR28:AR37)</f>
        <v>2</v>
      </c>
      <c r="AS39" s="127">
        <f>SUM(AO39:AR39)</f>
        <v>9</v>
      </c>
      <c r="AU39" s="127">
        <f>SUM(AV39:AY39)</f>
        <v>8</v>
      </c>
      <c r="AV39" s="117">
        <f>COUNTA(AV28:AV37)</f>
        <v>2</v>
      </c>
      <c r="AW39" s="117">
        <f>COUNTA(AW28:AW37)</f>
        <v>2</v>
      </c>
      <c r="AX39" s="117">
        <f>COUNTA(AX28:AX37)</f>
        <v>2</v>
      </c>
      <c r="AY39" s="117">
        <f>COUNTA(AY28:AY37)</f>
        <v>2</v>
      </c>
      <c r="BA39" s="128" t="s">
        <v>4</v>
      </c>
      <c r="BB39" s="117">
        <f>COUNTA(BB28:BB37)</f>
        <v>2</v>
      </c>
      <c r="BC39" s="117">
        <f>COUNTA(BC28:BC37)</f>
        <v>2</v>
      </c>
      <c r="BD39" s="117">
        <f>COUNTA(BD28:BD37)</f>
        <v>2</v>
      </c>
      <c r="BE39" s="117">
        <f>COUNTA(BE28:BE37)</f>
        <v>2</v>
      </c>
      <c r="BF39" s="127">
        <f>SUM(BB39:BE39)</f>
        <v>8</v>
      </c>
      <c r="BH39" s="127">
        <f>SUM(BI39:BL39)</f>
        <v>7</v>
      </c>
      <c r="BI39" s="117">
        <f>COUNTA(BI28:BI37)</f>
        <v>2</v>
      </c>
      <c r="BJ39" s="117">
        <f>COUNTA(BJ28:BJ37)</f>
        <v>2</v>
      </c>
      <c r="BK39" s="117">
        <f>COUNTA(BK28:BK37)</f>
        <v>2</v>
      </c>
      <c r="BL39" s="117">
        <f>COUNTA(BL28:BL37)</f>
        <v>1</v>
      </c>
      <c r="BM39" s="111"/>
    </row>
    <row r="40" spans="1:65" ht="15.75">
      <c r="A40" s="126" t="s">
        <v>6</v>
      </c>
      <c r="B40" s="584">
        <f>B39-COUNT(B28:B37)</f>
        <v>1</v>
      </c>
      <c r="C40" s="108">
        <f>C39-COUNT(C28:C37)</f>
        <v>0</v>
      </c>
      <c r="D40" s="584">
        <f>D39-COUNT(D28:D37)</f>
        <v>0</v>
      </c>
      <c r="E40" s="584">
        <f>E39-COUNT(E28:E37)</f>
        <v>2</v>
      </c>
      <c r="F40" s="127">
        <f>SUM(B40:E40)</f>
        <v>3</v>
      </c>
      <c r="H40" s="127">
        <f>SUM(I40:L40)</f>
        <v>1</v>
      </c>
      <c r="I40" s="108">
        <f>I39-COUNT(I28:I37)</f>
        <v>1</v>
      </c>
      <c r="J40" s="108">
        <f>J39-COUNT(J28:J37)</f>
        <v>0</v>
      </c>
      <c r="K40" s="108">
        <f>K39-COUNT(K28:K37)</f>
        <v>0</v>
      </c>
      <c r="L40" s="108">
        <f>L39-COUNT(L28:L37)</f>
        <v>0</v>
      </c>
      <c r="N40" s="126" t="s">
        <v>6</v>
      </c>
      <c r="O40" s="108">
        <f>O39-COUNT(O28:O37)</f>
        <v>0</v>
      </c>
      <c r="P40" s="108">
        <f>P39-COUNT(P28:P37)</f>
        <v>0</v>
      </c>
      <c r="Q40" s="108">
        <f>Q39-COUNT(Q28:Q37)</f>
        <v>0</v>
      </c>
      <c r="R40" s="108">
        <f>R39-COUNT(R28:R37)</f>
        <v>0</v>
      </c>
      <c r="S40" s="127">
        <f>SUM(O40:R40)</f>
        <v>0</v>
      </c>
      <c r="U40" s="127">
        <f>SUM(V40:Y40)</f>
        <v>0</v>
      </c>
      <c r="V40" s="108">
        <f>V39-COUNT(V28:V37)</f>
        <v>0</v>
      </c>
      <c r="W40" s="584">
        <f>W39-COUNT(W28:W37)</f>
        <v>0</v>
      </c>
      <c r="X40" s="584">
        <f>X39-COUNT(X28:X37)</f>
        <v>0</v>
      </c>
      <c r="Y40" s="108">
        <f>Y39-COUNT(Y28:Y37)</f>
        <v>0</v>
      </c>
      <c r="AA40" s="126" t="s">
        <v>6</v>
      </c>
      <c r="AB40" s="584">
        <f>AB39-COUNT(AB28:AB37)</f>
        <v>0</v>
      </c>
      <c r="AC40" s="108">
        <f>AC39-COUNT(AC28:AC37)</f>
        <v>0</v>
      </c>
      <c r="AD40" s="584">
        <f>AD39-COUNT(AD28:AD37)</f>
        <v>0</v>
      </c>
      <c r="AE40" s="584">
        <f>AE39-COUNT(AE28:AE37)</f>
        <v>0</v>
      </c>
      <c r="AF40" s="127">
        <f>SUM(AB40:AE40)</f>
        <v>0</v>
      </c>
      <c r="AH40" s="127">
        <f>SUM(AI40:AL40)</f>
        <v>1</v>
      </c>
      <c r="AI40" s="108">
        <f>AI39-COUNT(AI28:AI37)</f>
        <v>0</v>
      </c>
      <c r="AJ40" s="108">
        <f>AJ39-COUNT(AJ28:AJ37)</f>
        <v>0</v>
      </c>
      <c r="AK40" s="108">
        <f>AK39-COUNT(AK28:AK37)</f>
        <v>1</v>
      </c>
      <c r="AL40" s="108">
        <f>AL39-COUNT(AL28:AL37)</f>
        <v>0</v>
      </c>
      <c r="AN40" s="126" t="s">
        <v>6</v>
      </c>
      <c r="AO40" s="108">
        <f>AO39-COUNT(AO28:AO37)</f>
        <v>1</v>
      </c>
      <c r="AP40" s="108">
        <f>AP39-COUNT(AP28:AP37)</f>
        <v>0</v>
      </c>
      <c r="AQ40" s="108">
        <f>AQ39-COUNT(AQ28:AQ37)</f>
        <v>1</v>
      </c>
      <c r="AR40" s="108">
        <f>AR39-COUNT(AR28:AR37)</f>
        <v>0</v>
      </c>
      <c r="AS40" s="127">
        <f>SUM(AO40:AR40)</f>
        <v>2</v>
      </c>
      <c r="AU40" s="127">
        <f>SUM(AV40:AY40)</f>
        <v>3</v>
      </c>
      <c r="AV40" s="108">
        <f>AV39-COUNT(AV28:AV37)</f>
        <v>2</v>
      </c>
      <c r="AW40" s="584">
        <f>AW39-COUNT(AW28:AW37)</f>
        <v>0</v>
      </c>
      <c r="AX40" s="584">
        <f>AX39-COUNT(AX28:AX37)</f>
        <v>1</v>
      </c>
      <c r="AY40" s="108">
        <f>AY39-COUNT(AY28:AY37)</f>
        <v>0</v>
      </c>
      <c r="BA40" s="126" t="s">
        <v>6</v>
      </c>
      <c r="BB40" s="108">
        <f>BB39-COUNT(BB28:BB37)</f>
        <v>0</v>
      </c>
      <c r="BC40" s="108">
        <f>BC39-COUNT(BC28:BC37)</f>
        <v>0</v>
      </c>
      <c r="BD40" s="108">
        <f>BD39-COUNT(BD28:BD37)</f>
        <v>1</v>
      </c>
      <c r="BE40" s="108">
        <f>BE39-COUNT(BE28:BE37)</f>
        <v>0</v>
      </c>
      <c r="BF40" s="127">
        <f>SUM(BB40:BE40)</f>
        <v>1</v>
      </c>
      <c r="BH40" s="127">
        <f>SUM(BI40:BL40)</f>
        <v>2</v>
      </c>
      <c r="BI40" s="108">
        <f>BI39-COUNT(BI28:BI37)</f>
        <v>0</v>
      </c>
      <c r="BJ40" s="584">
        <f>BJ39-COUNT(BJ28:BJ37)</f>
        <v>1</v>
      </c>
      <c r="BK40" s="584">
        <f>BK39-COUNT(BK28:BK37)</f>
        <v>1</v>
      </c>
      <c r="BL40" s="108">
        <f>BL39-COUNT(BL28:BL37)</f>
        <v>0</v>
      </c>
      <c r="BM40" s="111"/>
    </row>
    <row r="41" spans="1:65" ht="15.75">
      <c r="A41" s="126" t="s">
        <v>12</v>
      </c>
      <c r="B41" s="933">
        <f>B40/B39</f>
        <v>0.33333333333333331</v>
      </c>
      <c r="C41" s="129">
        <f>C40/C39</f>
        <v>0</v>
      </c>
      <c r="D41" s="131">
        <f>D40/D39</f>
        <v>0</v>
      </c>
      <c r="E41" s="131">
        <f>E40/E39</f>
        <v>1</v>
      </c>
      <c r="F41" s="130">
        <f>F40/F39</f>
        <v>0.33333333333333331</v>
      </c>
      <c r="H41" s="130">
        <f>H40/H39</f>
        <v>0.1111111111111111</v>
      </c>
      <c r="I41" s="933">
        <f>I40/I39</f>
        <v>0.33333333333333331</v>
      </c>
      <c r="J41" s="129">
        <f>J40/J39</f>
        <v>0</v>
      </c>
      <c r="K41" s="129">
        <f>K40/K39</f>
        <v>0</v>
      </c>
      <c r="L41" s="129">
        <f>L40/L39</f>
        <v>0</v>
      </c>
      <c r="N41" s="126" t="s">
        <v>12</v>
      </c>
      <c r="O41" s="933">
        <f>O40/O39</f>
        <v>0</v>
      </c>
      <c r="P41" s="129">
        <f>P40/P39</f>
        <v>0</v>
      </c>
      <c r="Q41" s="129">
        <f>Q40/Q39</f>
        <v>0</v>
      </c>
      <c r="R41" s="129">
        <f>R40/R39</f>
        <v>0</v>
      </c>
      <c r="S41" s="130">
        <f>S40/S39</f>
        <v>0</v>
      </c>
      <c r="U41" s="130">
        <f>U40/U39</f>
        <v>0</v>
      </c>
      <c r="V41" s="129">
        <f>V40/V39</f>
        <v>0</v>
      </c>
      <c r="W41" s="131">
        <f>W40/W39</f>
        <v>0</v>
      </c>
      <c r="X41" s="131">
        <f>X40/X39</f>
        <v>0</v>
      </c>
      <c r="Y41" s="129">
        <f>Y40/Y39</f>
        <v>0</v>
      </c>
      <c r="AA41" s="126" t="s">
        <v>12</v>
      </c>
      <c r="AB41" s="933">
        <f>AB40/AB39</f>
        <v>0</v>
      </c>
      <c r="AC41" s="129">
        <f>AC40/AC39</f>
        <v>0</v>
      </c>
      <c r="AD41" s="131">
        <f>AD40/AD39</f>
        <v>0</v>
      </c>
      <c r="AE41" s="131">
        <f>AE40/AE39</f>
        <v>0</v>
      </c>
      <c r="AF41" s="130">
        <f>AF40/AF39</f>
        <v>0</v>
      </c>
      <c r="AH41" s="130">
        <f>AH40/AH39</f>
        <v>0.16666666666666666</v>
      </c>
      <c r="AI41" s="933">
        <f>AI40/AI39</f>
        <v>0</v>
      </c>
      <c r="AJ41" s="129">
        <f>AJ40/AJ39</f>
        <v>0</v>
      </c>
      <c r="AK41" s="129">
        <f>AK40/AK39</f>
        <v>1</v>
      </c>
      <c r="AL41" s="129">
        <f>AL40/AL39</f>
        <v>0</v>
      </c>
      <c r="AN41" s="126" t="s">
        <v>12</v>
      </c>
      <c r="AO41" s="933">
        <f>AO40/AO39</f>
        <v>0.33333333333333331</v>
      </c>
      <c r="AP41" s="129">
        <f>AP40/AP39</f>
        <v>0</v>
      </c>
      <c r="AQ41" s="129">
        <f>AQ40/AQ39</f>
        <v>0.5</v>
      </c>
      <c r="AR41" s="129">
        <f>AR40/AR39</f>
        <v>0</v>
      </c>
      <c r="AS41" s="130">
        <f>AS40/AS39</f>
        <v>0.22222222222222221</v>
      </c>
      <c r="AU41" s="130">
        <f>AU40/AU39</f>
        <v>0.375</v>
      </c>
      <c r="AV41" s="129">
        <f>AV40/AV39</f>
        <v>1</v>
      </c>
      <c r="AW41" s="131">
        <f>AW40/AW39</f>
        <v>0</v>
      </c>
      <c r="AX41" s="131">
        <f>AX40/AX39</f>
        <v>0.5</v>
      </c>
      <c r="AY41" s="129">
        <f>AY40/AY39</f>
        <v>0</v>
      </c>
      <c r="BA41" s="126" t="s">
        <v>12</v>
      </c>
      <c r="BB41" s="933">
        <f>BB40/BB39</f>
        <v>0</v>
      </c>
      <c r="BC41" s="129">
        <f>BC40/BC39</f>
        <v>0</v>
      </c>
      <c r="BD41" s="129">
        <f>BD40/BD39</f>
        <v>0.5</v>
      </c>
      <c r="BE41" s="129">
        <f>BE40/BE39</f>
        <v>0</v>
      </c>
      <c r="BF41" s="130">
        <f>BF40/BF39</f>
        <v>0.125</v>
      </c>
      <c r="BH41" s="130">
        <f>BH40/BH39</f>
        <v>0.2857142857142857</v>
      </c>
      <c r="BI41" s="129">
        <f>BI40/BI39</f>
        <v>0</v>
      </c>
      <c r="BJ41" s="131">
        <f>BJ40/BJ39</f>
        <v>0.5</v>
      </c>
      <c r="BK41" s="131">
        <f>BK40/BK39</f>
        <v>0.5</v>
      </c>
      <c r="BL41" s="129">
        <f>BL40/BL39</f>
        <v>0</v>
      </c>
      <c r="BM41" s="111"/>
    </row>
    <row r="42" spans="1:65" ht="15.75">
      <c r="A42" s="126" t="s">
        <v>5</v>
      </c>
      <c r="B42" s="132">
        <f>B38/B39</f>
        <v>5.666666666666667</v>
      </c>
      <c r="C42" s="132">
        <f>C38/C39</f>
        <v>7.5</v>
      </c>
      <c r="D42" s="132">
        <f>D38/D39</f>
        <v>6</v>
      </c>
      <c r="E42" s="134">
        <f>E38/E39</f>
        <v>0</v>
      </c>
      <c r="F42" s="133">
        <f>F38/F39</f>
        <v>4.8888888888888893</v>
      </c>
      <c r="H42" s="133">
        <f>H38/H39</f>
        <v>5.5555555555555554</v>
      </c>
      <c r="I42" s="132">
        <f>I38/I39</f>
        <v>4.333333333333333</v>
      </c>
      <c r="J42" s="132">
        <f>J38/J39</f>
        <v>7</v>
      </c>
      <c r="K42" s="132">
        <f>K38/K39</f>
        <v>6.5</v>
      </c>
      <c r="L42" s="132">
        <f>L38/L39</f>
        <v>5</v>
      </c>
      <c r="N42" s="126" t="s">
        <v>5</v>
      </c>
      <c r="O42" s="132">
        <f>O38/O39</f>
        <v>9</v>
      </c>
      <c r="P42" s="132">
        <f>P38/P39</f>
        <v>6</v>
      </c>
      <c r="Q42" s="132">
        <f>Q38/Q39</f>
        <v>10</v>
      </c>
      <c r="R42" s="132">
        <f>R38/R39</f>
        <v>4</v>
      </c>
      <c r="S42" s="133">
        <f>S38/S39</f>
        <v>7.333333333333333</v>
      </c>
      <c r="U42" s="133">
        <f>U38/U39</f>
        <v>8.3333333333333339</v>
      </c>
      <c r="V42" s="132">
        <f>V38/V39</f>
        <v>7.5</v>
      </c>
      <c r="W42" s="134">
        <f>W38/W39</f>
        <v>10</v>
      </c>
      <c r="X42" s="132">
        <f>X38/X39</f>
        <v>10</v>
      </c>
      <c r="Y42" s="132">
        <f>Y38/Y39</f>
        <v>5</v>
      </c>
      <c r="AA42" s="126" t="s">
        <v>5</v>
      </c>
      <c r="AB42" s="132">
        <f>AB38/AB39</f>
        <v>8.5</v>
      </c>
      <c r="AC42" s="132">
        <f>AC38/AC39</f>
        <v>7.5</v>
      </c>
      <c r="AD42" s="132">
        <f>AD38/AD39</f>
        <v>6</v>
      </c>
      <c r="AE42" s="134">
        <f>AE38/AE39</f>
        <v>6</v>
      </c>
      <c r="AF42" s="133">
        <f>AF38/AF39</f>
        <v>7.1428571428571432</v>
      </c>
      <c r="AH42" s="133">
        <f>AH38/AH39</f>
        <v>5.333333333333333</v>
      </c>
      <c r="AI42" s="132">
        <f>AI38/AI39</f>
        <v>6.5</v>
      </c>
      <c r="AJ42" s="132">
        <f>AJ38/AJ39</f>
        <v>6</v>
      </c>
      <c r="AK42" s="132">
        <f>AK38/AK39</f>
        <v>0</v>
      </c>
      <c r="AL42" s="132">
        <f>AL38/AL39</f>
        <v>7</v>
      </c>
      <c r="AN42" s="126" t="s">
        <v>5</v>
      </c>
      <c r="AO42" s="132">
        <f>AO38/AO39</f>
        <v>5.666666666666667</v>
      </c>
      <c r="AP42" s="132">
        <f>AP38/AP39</f>
        <v>5.5</v>
      </c>
      <c r="AQ42" s="132">
        <f>AQ38/AQ39</f>
        <v>5.5</v>
      </c>
      <c r="AR42" s="132">
        <f>AR38/AR39</f>
        <v>5.5</v>
      </c>
      <c r="AS42" s="133">
        <f>AS38/AS39</f>
        <v>5.5555555555555554</v>
      </c>
      <c r="AU42" s="133">
        <f>AU38/AU39</f>
        <v>4.75</v>
      </c>
      <c r="AV42" s="132">
        <f>AV38/AV39</f>
        <v>0</v>
      </c>
      <c r="AW42" s="134">
        <f>AW38/AW39</f>
        <v>7</v>
      </c>
      <c r="AX42" s="132">
        <f>AX38/AX39</f>
        <v>3</v>
      </c>
      <c r="AY42" s="132">
        <f>AY38/AY39</f>
        <v>9</v>
      </c>
      <c r="BA42" s="126" t="s">
        <v>5</v>
      </c>
      <c r="BB42" s="132">
        <f>BB38/BB39</f>
        <v>9</v>
      </c>
      <c r="BC42" s="132">
        <f>BC38/BC39</f>
        <v>8.5</v>
      </c>
      <c r="BD42" s="132">
        <f>BD38/BD39</f>
        <v>3</v>
      </c>
      <c r="BE42" s="132">
        <f>BE38/BE39</f>
        <v>4.5</v>
      </c>
      <c r="BF42" s="133">
        <f>BF38/BF39</f>
        <v>6.25</v>
      </c>
      <c r="BH42" s="133">
        <f>BH38/BH39</f>
        <v>4.7142857142857144</v>
      </c>
      <c r="BI42" s="132">
        <f>BI38/BI39</f>
        <v>7</v>
      </c>
      <c r="BJ42" s="134">
        <f>BJ38/BJ39</f>
        <v>1.5</v>
      </c>
      <c r="BK42" s="132">
        <f>BK38/BK39</f>
        <v>5</v>
      </c>
      <c r="BL42" s="132">
        <f>BL38/BL39</f>
        <v>6</v>
      </c>
      <c r="BM42" s="111"/>
    </row>
    <row r="43" spans="1:65" ht="15.75">
      <c r="A43" s="126" t="s">
        <v>8</v>
      </c>
      <c r="B43" s="135">
        <f>B38/(B39-B40)</f>
        <v>8.5</v>
      </c>
      <c r="C43" s="135">
        <f>C38/(C39-C40)</f>
        <v>7.5</v>
      </c>
      <c r="D43" s="132">
        <f>D38/(D39-D40)</f>
        <v>6</v>
      </c>
      <c r="E43" s="1437">
        <v>0</v>
      </c>
      <c r="F43" s="136">
        <f>F38/(F39-F40)</f>
        <v>7.333333333333333</v>
      </c>
      <c r="H43" s="136">
        <f>H38/(H39-H40)</f>
        <v>6.25</v>
      </c>
      <c r="I43" s="135">
        <f>I38/(I39-I40)</f>
        <v>6.5</v>
      </c>
      <c r="J43" s="135">
        <f>J38/(J39-J40)</f>
        <v>7</v>
      </c>
      <c r="K43" s="135">
        <f>K38/(K39-K40)</f>
        <v>6.5</v>
      </c>
      <c r="L43" s="135">
        <f>L38/(L39-L40)</f>
        <v>5</v>
      </c>
      <c r="N43" s="126" t="s">
        <v>8</v>
      </c>
      <c r="O43" s="135">
        <f>O38/(O39-O40)</f>
        <v>9</v>
      </c>
      <c r="P43" s="135">
        <f>P38/(P39-P40)</f>
        <v>6</v>
      </c>
      <c r="Q43" s="135">
        <f>Q38/(Q39-Q40)</f>
        <v>10</v>
      </c>
      <c r="R43" s="135">
        <f>R38/(R39-R40)</f>
        <v>4</v>
      </c>
      <c r="S43" s="136">
        <f>S38/(S39-S40)</f>
        <v>7.333333333333333</v>
      </c>
      <c r="U43" s="136">
        <f>U38/(U39-U40)</f>
        <v>8.3333333333333339</v>
      </c>
      <c r="V43" s="135">
        <f>V38/(V39-V40)</f>
        <v>7.5</v>
      </c>
      <c r="W43" s="134">
        <f>W38/(W39-W40)</f>
        <v>10</v>
      </c>
      <c r="X43" s="135">
        <f>X38/(X39-X40)</f>
        <v>10</v>
      </c>
      <c r="Y43" s="132">
        <f>Y38/(Y39-Y40)</f>
        <v>5</v>
      </c>
      <c r="AA43" s="126" t="s">
        <v>8</v>
      </c>
      <c r="AB43" s="135">
        <f>AB38/(AB39-AB40)</f>
        <v>8.5</v>
      </c>
      <c r="AC43" s="135">
        <f>AC38/(AC39-AC40)</f>
        <v>7.5</v>
      </c>
      <c r="AD43" s="132">
        <f>AD38/(AD39-AD40)</f>
        <v>6</v>
      </c>
      <c r="AE43" s="134">
        <f>AE38/(AE39-AE40)</f>
        <v>6</v>
      </c>
      <c r="AF43" s="136">
        <f>AF38/(AF39-AF40)</f>
        <v>7.1428571428571432</v>
      </c>
      <c r="AH43" s="136">
        <f>AH38/(AH39-AH40)</f>
        <v>6.4</v>
      </c>
      <c r="AI43" s="135">
        <f>AI38/(AI39-AI40)</f>
        <v>6.5</v>
      </c>
      <c r="AJ43" s="135">
        <f>AJ38/(AJ39-AJ40)</f>
        <v>6</v>
      </c>
      <c r="AK43" s="663">
        <v>0</v>
      </c>
      <c r="AL43" s="135">
        <f>AL38/(AL39-AL40)</f>
        <v>7</v>
      </c>
      <c r="AN43" s="126" t="s">
        <v>8</v>
      </c>
      <c r="AO43" s="135">
        <f>AO38/(AO39-AO40)</f>
        <v>8.5</v>
      </c>
      <c r="AP43" s="135">
        <f>AP38/(AP39-AP40)</f>
        <v>5.5</v>
      </c>
      <c r="AQ43" s="135">
        <f>AQ38/(AQ39-AQ40)</f>
        <v>11</v>
      </c>
      <c r="AR43" s="135">
        <f>AR38/(AR39-AR40)</f>
        <v>5.5</v>
      </c>
      <c r="AS43" s="136">
        <f>AS38/(AS39-AS40)</f>
        <v>7.1428571428571432</v>
      </c>
      <c r="AU43" s="136">
        <f>AU38/(AU39-AU40)</f>
        <v>7.6</v>
      </c>
      <c r="AV43" s="663">
        <v>0</v>
      </c>
      <c r="AW43" s="134">
        <f>AW38/(AW39-AW40)</f>
        <v>7</v>
      </c>
      <c r="AX43" s="135">
        <f>AX38/(AX39-AX40)</f>
        <v>6</v>
      </c>
      <c r="AY43" s="132">
        <f>AY38/(AY39-AY40)</f>
        <v>9</v>
      </c>
      <c r="BA43" s="126" t="s">
        <v>8</v>
      </c>
      <c r="BB43" s="135">
        <f>BB38/(BB39-BB40)</f>
        <v>9</v>
      </c>
      <c r="BC43" s="135">
        <f>BC38/(BC39-BC40)</f>
        <v>8.5</v>
      </c>
      <c r="BD43" s="135">
        <f>BD38/(BD39-BD40)</f>
        <v>6</v>
      </c>
      <c r="BE43" s="135">
        <f>BE38/(BE39-BE40)</f>
        <v>4.5</v>
      </c>
      <c r="BF43" s="136">
        <f>BF38/(BF39-BF40)</f>
        <v>7.1428571428571432</v>
      </c>
      <c r="BH43" s="136">
        <f>BH38/(BH39-BH40)</f>
        <v>6.6</v>
      </c>
      <c r="BI43" s="135">
        <f>BI38/(BI39-BI40)</f>
        <v>7</v>
      </c>
      <c r="BJ43" s="134">
        <f>BJ38/(BJ39-BJ40)</f>
        <v>3</v>
      </c>
      <c r="BK43" s="135">
        <f>BK38/(BK39-BK40)</f>
        <v>10</v>
      </c>
      <c r="BL43" s="132">
        <f>BL38/(BL39-BL40)</f>
        <v>6</v>
      </c>
      <c r="BM43" s="111"/>
    </row>
    <row r="44" spans="1:65" s="111" customFormat="1">
      <c r="A44" s="109"/>
      <c r="B44" s="110"/>
      <c r="C44" s="580"/>
      <c r="D44" s="110"/>
      <c r="E44" s="580"/>
      <c r="F44" s="580"/>
      <c r="G44" s="580"/>
      <c r="N44" s="109"/>
      <c r="O44" s="110"/>
      <c r="P44" s="580"/>
      <c r="Q44" s="110"/>
      <c r="R44" s="580"/>
      <c r="T44" s="580"/>
      <c r="AA44" s="109"/>
      <c r="AB44" s="110"/>
      <c r="AC44" s="580"/>
      <c r="AD44" s="110"/>
      <c r="AE44" s="580"/>
      <c r="AF44" s="580"/>
      <c r="AG44" s="580"/>
      <c r="AN44" s="109"/>
      <c r="AO44" s="110"/>
      <c r="AP44" s="580"/>
      <c r="AQ44" s="110"/>
      <c r="AR44" s="580"/>
      <c r="AT44" s="580"/>
      <c r="BG44" s="580"/>
    </row>
    <row r="45" spans="1:65" ht="15.75">
      <c r="B45" s="1540" t="s">
        <v>144</v>
      </c>
      <c r="C45" s="1540"/>
      <c r="D45" s="1540"/>
      <c r="E45" s="1540"/>
      <c r="I45" s="1543" t="s">
        <v>138</v>
      </c>
      <c r="J45" s="1543"/>
      <c r="K45" s="1543"/>
      <c r="L45" s="1543"/>
      <c r="O45" s="1543" t="s">
        <v>138</v>
      </c>
      <c r="P45" s="1543"/>
      <c r="Q45" s="1543"/>
      <c r="R45" s="1543"/>
      <c r="V45" s="1540" t="s">
        <v>144</v>
      </c>
      <c r="W45" s="1540"/>
      <c r="X45" s="1540"/>
      <c r="Y45" s="1540"/>
      <c r="AA45" s="502"/>
      <c r="AB45" s="502"/>
      <c r="AC45" s="502"/>
      <c r="AD45" s="502"/>
      <c r="AE45" s="502"/>
      <c r="AF45" s="502"/>
      <c r="AG45" s="502"/>
      <c r="AN45" s="502"/>
      <c r="AO45" s="502"/>
      <c r="AP45" s="502"/>
      <c r="AQ45" s="502"/>
      <c r="AR45" s="502"/>
      <c r="AT45" s="502"/>
    </row>
    <row r="46" spans="1:65" ht="15.75">
      <c r="B46" s="469">
        <v>1</v>
      </c>
      <c r="C46" s="470">
        <v>2</v>
      </c>
      <c r="D46" s="471">
        <v>3</v>
      </c>
      <c r="E46" s="872">
        <v>4</v>
      </c>
      <c r="F46" s="113">
        <f>IF(COUNTIF(F48:F56,"&gt;37")=0,0,COUNTIF(F48:F56,"&gt;37")-1)</f>
        <v>4</v>
      </c>
      <c r="H46" s="113">
        <f>IF(COUNTIF(H48:H56,"&gt;37")=0,0,COUNTIF(H48:H56,"&gt;37")-1)</f>
        <v>0</v>
      </c>
      <c r="I46" s="934">
        <v>1</v>
      </c>
      <c r="J46" s="935">
        <v>2</v>
      </c>
      <c r="K46" s="936">
        <v>3</v>
      </c>
      <c r="L46" s="937">
        <v>4</v>
      </c>
      <c r="O46" s="934">
        <v>1</v>
      </c>
      <c r="P46" s="935">
        <v>2</v>
      </c>
      <c r="Q46" s="936">
        <v>3</v>
      </c>
      <c r="R46" s="937">
        <v>4</v>
      </c>
      <c r="S46" s="113">
        <f>IF(COUNTIF(S48:S54,"&gt;37")=0,0,COUNTIF(S48:S54,"&gt;37")-1)</f>
        <v>0</v>
      </c>
      <c r="U46" s="113">
        <f>IF(COUNTIF(U48:U54,"&gt;37")=0,0,COUNTIF(U48:U54,"&gt;37")-1)</f>
        <v>1</v>
      </c>
      <c r="V46" s="469">
        <v>1</v>
      </c>
      <c r="W46" s="470">
        <v>2</v>
      </c>
      <c r="X46" s="471">
        <v>3</v>
      </c>
      <c r="Y46" s="872">
        <v>4</v>
      </c>
      <c r="AA46" s="502"/>
      <c r="AB46" s="502"/>
      <c r="AC46" s="502"/>
      <c r="AD46" s="502"/>
      <c r="AE46" s="502"/>
      <c r="AF46" s="502"/>
      <c r="AG46" s="502"/>
      <c r="AN46" s="502"/>
      <c r="AO46" s="502"/>
      <c r="AP46" s="502"/>
      <c r="AQ46" s="502"/>
      <c r="AR46" s="502"/>
      <c r="AT46" s="502"/>
    </row>
    <row r="47" spans="1:65" ht="50.25">
      <c r="B47" s="473" t="s">
        <v>53</v>
      </c>
      <c r="C47" s="474" t="s">
        <v>135</v>
      </c>
      <c r="D47" s="475" t="s">
        <v>137</v>
      </c>
      <c r="E47" s="476" t="s">
        <v>132</v>
      </c>
      <c r="F47" s="115"/>
      <c r="G47" s="628"/>
      <c r="I47" s="938" t="s">
        <v>139</v>
      </c>
      <c r="J47" s="939" t="s">
        <v>140</v>
      </c>
      <c r="K47" s="939" t="s">
        <v>141</v>
      </c>
      <c r="L47" s="938" t="s">
        <v>142</v>
      </c>
      <c r="O47" s="938" t="s">
        <v>139</v>
      </c>
      <c r="P47" s="939" t="s">
        <v>140</v>
      </c>
      <c r="Q47" s="939" t="s">
        <v>141</v>
      </c>
      <c r="R47" s="938" t="s">
        <v>142</v>
      </c>
      <c r="S47" s="116"/>
      <c r="T47" s="628"/>
      <c r="U47" s="116"/>
      <c r="V47" s="474" t="s">
        <v>135</v>
      </c>
      <c r="W47" s="475" t="s">
        <v>137</v>
      </c>
      <c r="X47" s="475" t="s">
        <v>132</v>
      </c>
      <c r="Y47" s="476" t="s">
        <v>136</v>
      </c>
      <c r="AA47" s="502"/>
      <c r="AB47" s="502"/>
      <c r="AC47" s="502"/>
      <c r="AD47" s="502"/>
      <c r="AE47" s="502"/>
      <c r="AF47" s="502"/>
      <c r="AG47" s="502"/>
      <c r="AN47" s="502"/>
      <c r="AO47" s="502"/>
      <c r="AP47" s="502"/>
      <c r="AQ47" s="502"/>
      <c r="AR47" s="502"/>
      <c r="AT47" s="502"/>
    </row>
    <row r="48" spans="1:65" ht="15.75">
      <c r="A48" s="118">
        <v>1</v>
      </c>
      <c r="B48" s="108">
        <v>9</v>
      </c>
      <c r="C48" s="117"/>
      <c r="D48" s="117"/>
      <c r="E48" s="119"/>
      <c r="F48" s="120">
        <f>SUM($B$48:E48)</f>
        <v>9</v>
      </c>
      <c r="G48" s="595">
        <f>F48-H48</f>
        <v>4</v>
      </c>
      <c r="H48" s="120">
        <f>SUM($I$48:L48)</f>
        <v>5</v>
      </c>
      <c r="I48" s="121">
        <v>5</v>
      </c>
      <c r="J48" s="117"/>
      <c r="K48" s="117"/>
      <c r="L48" s="107"/>
      <c r="N48" s="118">
        <v>1</v>
      </c>
      <c r="O48" s="108">
        <v>11</v>
      </c>
      <c r="P48" s="117"/>
      <c r="Q48" s="117"/>
      <c r="R48" s="119"/>
      <c r="S48" s="120">
        <f>SUM($O$48:R48)</f>
        <v>11</v>
      </c>
      <c r="T48" s="595">
        <f t="shared" ref="T48:T55" si="9">S48-U48</f>
        <v>4</v>
      </c>
      <c r="U48" s="120">
        <f>SUM($V$48:Y48)</f>
        <v>7</v>
      </c>
      <c r="V48" s="121">
        <v>7</v>
      </c>
      <c r="W48" s="117"/>
      <c r="X48" s="117"/>
      <c r="Y48" s="107"/>
      <c r="AA48" s="502"/>
      <c r="AB48" s="502"/>
      <c r="AC48" s="502"/>
      <c r="AD48" s="502"/>
      <c r="AE48" s="502"/>
      <c r="AF48" s="502"/>
      <c r="AG48" s="502"/>
      <c r="AN48" s="502"/>
      <c r="AO48" s="502"/>
      <c r="AP48" s="502"/>
      <c r="AQ48" s="502"/>
      <c r="AR48" s="502"/>
      <c r="AT48" s="502"/>
    </row>
    <row r="49" spans="1:59" ht="15.75">
      <c r="A49" s="122">
        <v>2</v>
      </c>
      <c r="B49" s="117"/>
      <c r="C49" s="108">
        <v>10</v>
      </c>
      <c r="D49" s="117"/>
      <c r="E49" s="114"/>
      <c r="F49" s="120">
        <f>SUM($B$48:E49)</f>
        <v>19</v>
      </c>
      <c r="G49" s="595">
        <f t="shared" ref="G49:G54" si="10">F49-H49</f>
        <v>11</v>
      </c>
      <c r="H49" s="120">
        <f>SUM($I$48:L49)</f>
        <v>8</v>
      </c>
      <c r="I49" s="123"/>
      <c r="J49" s="108">
        <v>3</v>
      </c>
      <c r="K49" s="117"/>
      <c r="L49" s="117"/>
      <c r="N49" s="122">
        <v>2</v>
      </c>
      <c r="O49" s="117"/>
      <c r="P49" s="108">
        <v>3</v>
      </c>
      <c r="Q49" s="117"/>
      <c r="R49" s="114"/>
      <c r="S49" s="120">
        <f>SUM($O$48:R49)</f>
        <v>14</v>
      </c>
      <c r="T49" s="595">
        <f t="shared" si="9"/>
        <v>0</v>
      </c>
      <c r="U49" s="120">
        <f>SUM($V$48:Y49)</f>
        <v>14</v>
      </c>
      <c r="V49" s="123"/>
      <c r="W49" s="108">
        <v>7</v>
      </c>
      <c r="X49" s="117"/>
      <c r="Y49" s="117"/>
      <c r="AA49" s="502"/>
      <c r="AB49" s="502"/>
      <c r="AC49" s="502"/>
      <c r="AD49" s="502"/>
      <c r="AE49" s="502"/>
      <c r="AF49" s="502"/>
      <c r="AG49" s="502"/>
      <c r="AN49" s="502"/>
      <c r="AO49" s="502"/>
      <c r="AP49" s="502"/>
      <c r="AQ49" s="502"/>
      <c r="AR49" s="502"/>
      <c r="AT49" s="502"/>
    </row>
    <row r="50" spans="1:59" ht="15.75">
      <c r="A50" s="122">
        <v>3</v>
      </c>
      <c r="B50" s="108"/>
      <c r="C50" s="117"/>
      <c r="D50" s="117">
        <v>4</v>
      </c>
      <c r="E50" s="119"/>
      <c r="F50" s="120">
        <f>SUM($B$48:E50)</f>
        <v>23</v>
      </c>
      <c r="G50" s="595">
        <f t="shared" si="10"/>
        <v>10</v>
      </c>
      <c r="H50" s="120">
        <f>SUM($I$48:L50)</f>
        <v>13</v>
      </c>
      <c r="I50" s="121"/>
      <c r="J50" s="117"/>
      <c r="K50" s="117">
        <v>5</v>
      </c>
      <c r="L50" s="107"/>
      <c r="N50" s="122">
        <v>3</v>
      </c>
      <c r="O50" s="108"/>
      <c r="P50" s="117"/>
      <c r="Q50" s="117">
        <v>8</v>
      </c>
      <c r="R50" s="119"/>
      <c r="S50" s="120">
        <f>SUM($O$48:R50)</f>
        <v>22</v>
      </c>
      <c r="T50" s="595">
        <f t="shared" si="9"/>
        <v>0</v>
      </c>
      <c r="U50" s="120">
        <f>SUM($V$48:Y50)</f>
        <v>22</v>
      </c>
      <c r="V50" s="121"/>
      <c r="W50" s="117"/>
      <c r="X50" s="117">
        <v>8</v>
      </c>
      <c r="Y50" s="107"/>
      <c r="AA50" s="502"/>
      <c r="AB50" s="502"/>
      <c r="AC50" s="502"/>
      <c r="AD50" s="502"/>
      <c r="AE50" s="502"/>
      <c r="AF50" s="502"/>
      <c r="AG50" s="502"/>
      <c r="AN50" s="502"/>
      <c r="AO50" s="502"/>
      <c r="AP50" s="502"/>
      <c r="AQ50" s="502"/>
      <c r="AR50" s="502"/>
      <c r="AT50" s="502"/>
    </row>
    <row r="51" spans="1:59" ht="15.75">
      <c r="A51" s="122">
        <v>4</v>
      </c>
      <c r="B51" s="117"/>
      <c r="C51" s="108"/>
      <c r="D51" s="117"/>
      <c r="E51" s="114">
        <v>12</v>
      </c>
      <c r="F51" s="120">
        <f>SUM($B$48:E51)</f>
        <v>35</v>
      </c>
      <c r="G51" s="595">
        <f t="shared" si="10"/>
        <v>22</v>
      </c>
      <c r="H51" s="120">
        <f>SUM($I$48:L51)</f>
        <v>13</v>
      </c>
      <c r="I51" s="123"/>
      <c r="J51" s="108"/>
      <c r="K51" s="117"/>
      <c r="L51" s="117" t="s">
        <v>2</v>
      </c>
      <c r="N51" s="122">
        <v>4</v>
      </c>
      <c r="O51" s="117"/>
      <c r="P51" s="108"/>
      <c r="Q51" s="117"/>
      <c r="R51" s="114">
        <v>3</v>
      </c>
      <c r="S51" s="120">
        <f>SUM($O$48:R51)</f>
        <v>25</v>
      </c>
      <c r="T51" s="595">
        <f t="shared" si="9"/>
        <v>-3</v>
      </c>
      <c r="U51" s="120">
        <f>SUM($V$48:Y51)</f>
        <v>28</v>
      </c>
      <c r="V51" s="123"/>
      <c r="W51" s="108"/>
      <c r="X51" s="117"/>
      <c r="Y51" s="117">
        <v>6</v>
      </c>
      <c r="AA51" s="502"/>
      <c r="AB51" s="502"/>
      <c r="AC51" s="502"/>
      <c r="AD51" s="502"/>
      <c r="AE51" s="502"/>
      <c r="AF51" s="502"/>
      <c r="AG51" s="502"/>
      <c r="AN51" s="502"/>
      <c r="AO51" s="502"/>
      <c r="AP51" s="502"/>
      <c r="AQ51" s="502"/>
      <c r="AR51" s="502"/>
      <c r="AT51" s="502"/>
    </row>
    <row r="52" spans="1:59" ht="15.75">
      <c r="A52" s="122">
        <v>5</v>
      </c>
      <c r="B52" s="108">
        <v>7</v>
      </c>
      <c r="C52" s="117"/>
      <c r="D52" s="117"/>
      <c r="E52" s="119"/>
      <c r="F52" s="120">
        <f>SUM($B$48:E52)</f>
        <v>42</v>
      </c>
      <c r="G52" s="595">
        <f t="shared" si="10"/>
        <v>17</v>
      </c>
      <c r="H52" s="120">
        <f>SUM($I$48:L52)</f>
        <v>25</v>
      </c>
      <c r="I52" s="121">
        <v>12</v>
      </c>
      <c r="J52" s="117"/>
      <c r="K52" s="117"/>
      <c r="L52" s="107"/>
      <c r="N52" s="122">
        <v>5</v>
      </c>
      <c r="O52" s="108" t="s">
        <v>2</v>
      </c>
      <c r="P52" s="117"/>
      <c r="Q52" s="117"/>
      <c r="R52" s="119"/>
      <c r="S52" s="120">
        <f>SUM($O$48:R52)</f>
        <v>25</v>
      </c>
      <c r="T52" s="595">
        <f t="shared" si="9"/>
        <v>-5</v>
      </c>
      <c r="U52" s="120">
        <f>SUM($V$48:Y52)</f>
        <v>30</v>
      </c>
      <c r="V52" s="121">
        <v>2</v>
      </c>
      <c r="W52" s="117"/>
      <c r="X52" s="117"/>
      <c r="Y52" s="107"/>
      <c r="AA52" s="502"/>
      <c r="AB52" s="502"/>
      <c r="AC52" s="502"/>
      <c r="AD52" s="502"/>
      <c r="AE52" s="502"/>
      <c r="AF52" s="502"/>
      <c r="AG52" s="502"/>
      <c r="AN52" s="502"/>
      <c r="AO52" s="502"/>
      <c r="AP52" s="502"/>
      <c r="AQ52" s="502"/>
      <c r="AR52" s="502"/>
      <c r="AT52" s="502"/>
    </row>
    <row r="53" spans="1:59" ht="15.75">
      <c r="A53" s="122">
        <v>6</v>
      </c>
      <c r="B53" s="117"/>
      <c r="C53" s="108">
        <v>2</v>
      </c>
      <c r="D53" s="117"/>
      <c r="E53" s="114"/>
      <c r="F53" s="120">
        <f>SUM($B$48:E53)</f>
        <v>44</v>
      </c>
      <c r="G53" s="595">
        <f t="shared" si="10"/>
        <v>19</v>
      </c>
      <c r="H53" s="120">
        <f>SUM($I$48:L53)</f>
        <v>25</v>
      </c>
      <c r="I53" s="123"/>
      <c r="J53" s="108" t="s">
        <v>2</v>
      </c>
      <c r="K53" s="117"/>
      <c r="L53" s="117"/>
      <c r="N53" s="122">
        <v>6</v>
      </c>
      <c r="O53" s="117"/>
      <c r="P53" s="108" t="s">
        <v>2</v>
      </c>
      <c r="Q53" s="117"/>
      <c r="R53" s="114"/>
      <c r="S53" s="120">
        <f>SUM($O$48:R53)</f>
        <v>25</v>
      </c>
      <c r="T53" s="595">
        <f t="shared" si="9"/>
        <v>-13</v>
      </c>
      <c r="U53" s="120">
        <f>SUM($V$48:Y53)</f>
        <v>38</v>
      </c>
      <c r="V53" s="123"/>
      <c r="W53" s="108">
        <v>8</v>
      </c>
      <c r="X53" s="117"/>
      <c r="Y53" s="117"/>
      <c r="AA53" s="502"/>
      <c r="AB53" s="502"/>
      <c r="AC53" s="502"/>
      <c r="AD53" s="502"/>
      <c r="AE53" s="502"/>
      <c r="AF53" s="502"/>
      <c r="AG53" s="502"/>
      <c r="AN53" s="502"/>
      <c r="AO53" s="502"/>
      <c r="AP53" s="502"/>
      <c r="AQ53" s="502"/>
      <c r="AR53" s="502"/>
      <c r="AT53" s="502"/>
    </row>
    <row r="54" spans="1:59" ht="15.75">
      <c r="A54" s="122">
        <v>7</v>
      </c>
      <c r="B54" s="108"/>
      <c r="C54" s="117"/>
      <c r="D54" s="117" t="s">
        <v>2</v>
      </c>
      <c r="E54" s="119"/>
      <c r="F54" s="120">
        <f>SUM($B$48:E54)</f>
        <v>44</v>
      </c>
      <c r="G54" s="595">
        <f t="shared" si="10"/>
        <v>16</v>
      </c>
      <c r="H54" s="120">
        <f>SUM($I$48:L54)</f>
        <v>28</v>
      </c>
      <c r="I54" s="121"/>
      <c r="J54" s="117"/>
      <c r="K54" s="117">
        <v>3</v>
      </c>
      <c r="L54" s="107"/>
      <c r="N54" s="118">
        <v>7</v>
      </c>
      <c r="O54" s="108"/>
      <c r="P54" s="117"/>
      <c r="Q54" s="117">
        <v>4</v>
      </c>
      <c r="R54" s="119"/>
      <c r="S54" s="120">
        <f>SUM($O$48:R54)</f>
        <v>29</v>
      </c>
      <c r="T54" s="595">
        <f t="shared" si="9"/>
        <v>-9</v>
      </c>
      <c r="U54" s="120">
        <f>SUM($V$48:Y54)</f>
        <v>38</v>
      </c>
      <c r="V54" s="121"/>
      <c r="W54" s="117"/>
      <c r="X54" s="117" t="s">
        <v>2</v>
      </c>
      <c r="Y54" s="107"/>
      <c r="AA54" s="502"/>
      <c r="AB54" s="502"/>
      <c r="AC54" s="502"/>
      <c r="AD54" s="502"/>
      <c r="AE54" s="502"/>
      <c r="AF54" s="502"/>
      <c r="AG54" s="502"/>
      <c r="AN54" s="502"/>
      <c r="AO54" s="502"/>
      <c r="AP54" s="502"/>
      <c r="AQ54" s="502"/>
      <c r="AR54" s="502"/>
      <c r="AT54" s="502"/>
    </row>
    <row r="55" spans="1:59" ht="15.75">
      <c r="A55" s="118">
        <v>8</v>
      </c>
      <c r="B55" s="108"/>
      <c r="C55" s="117"/>
      <c r="D55" s="117"/>
      <c r="E55" s="119">
        <v>2</v>
      </c>
      <c r="F55" s="120">
        <f>SUM($B$48:E55)</f>
        <v>46</v>
      </c>
      <c r="G55" s="595">
        <f>F55-H55</f>
        <v>15</v>
      </c>
      <c r="H55" s="120">
        <f>SUM($I$48:L55)</f>
        <v>31</v>
      </c>
      <c r="I55" s="121"/>
      <c r="J55" s="117"/>
      <c r="K55" s="117"/>
      <c r="L55" s="107">
        <v>3</v>
      </c>
      <c r="N55" s="122">
        <v>8</v>
      </c>
      <c r="O55" s="117"/>
      <c r="P55" s="108"/>
      <c r="Q55" s="117"/>
      <c r="R55" s="114">
        <v>6</v>
      </c>
      <c r="S55" s="120">
        <f>SUM($O$48:R55)</f>
        <v>35</v>
      </c>
      <c r="T55" s="595">
        <f t="shared" si="9"/>
        <v>-15</v>
      </c>
      <c r="U55" s="120">
        <f>SUM($V$48:Y55)</f>
        <v>50</v>
      </c>
      <c r="V55" s="123"/>
      <c r="W55" s="108"/>
      <c r="X55" s="117"/>
      <c r="Y55" s="565">
        <v>12</v>
      </c>
      <c r="AA55" s="502"/>
      <c r="AB55" s="502"/>
      <c r="AC55" s="502"/>
      <c r="AD55" s="502"/>
      <c r="AE55" s="502"/>
      <c r="AF55" s="502"/>
      <c r="AG55" s="502"/>
      <c r="AN55" s="502"/>
      <c r="AO55" s="502"/>
      <c r="AP55" s="502"/>
      <c r="AQ55" s="502"/>
      <c r="AR55" s="502"/>
      <c r="AT55" s="502"/>
    </row>
    <row r="56" spans="1:59" ht="15.75">
      <c r="A56" s="122">
        <v>9</v>
      </c>
      <c r="B56" s="565">
        <v>4</v>
      </c>
      <c r="C56" s="108"/>
      <c r="D56" s="117"/>
      <c r="E56" s="114"/>
      <c r="F56" s="120">
        <f>SUM($B$48:E56)</f>
        <v>50</v>
      </c>
      <c r="G56" s="595">
        <f t="shared" ref="G56" si="11">F56-H56</f>
        <v>19</v>
      </c>
      <c r="H56" s="120">
        <f>SUM($I$48:L56)</f>
        <v>31</v>
      </c>
      <c r="I56" s="123"/>
      <c r="J56" s="108"/>
      <c r="K56" s="117"/>
      <c r="L56" s="117"/>
      <c r="P56" s="583"/>
      <c r="S56" s="583"/>
      <c r="V56" s="582"/>
      <c r="W56" s="583"/>
      <c r="X56" s="582"/>
      <c r="Y56" s="583"/>
      <c r="AA56" s="502"/>
      <c r="AB56" s="502"/>
      <c r="AC56" s="502"/>
      <c r="AD56" s="502"/>
      <c r="AE56" s="502"/>
      <c r="AF56" s="502"/>
      <c r="AG56" s="502"/>
      <c r="AN56" s="502"/>
      <c r="AO56" s="502"/>
      <c r="AP56" s="502"/>
      <c r="AQ56" s="502"/>
      <c r="AR56" s="502"/>
      <c r="AT56" s="502"/>
    </row>
    <row r="57" spans="1:59">
      <c r="C57" s="583"/>
      <c r="I57" s="582"/>
      <c r="J57" s="583"/>
      <c r="K57" s="582"/>
      <c r="L57" s="583"/>
      <c r="P57" s="583"/>
      <c r="S57" s="583"/>
      <c r="V57" s="582"/>
      <c r="W57" s="583"/>
      <c r="X57" s="582"/>
      <c r="Y57" s="583"/>
      <c r="AA57" s="502"/>
      <c r="AB57" s="502"/>
      <c r="AC57" s="502"/>
      <c r="AD57" s="502"/>
      <c r="AE57" s="502"/>
      <c r="AF57" s="502"/>
      <c r="AG57" s="502"/>
      <c r="AN57" s="502"/>
      <c r="AO57" s="502"/>
      <c r="AP57" s="502"/>
      <c r="AQ57" s="502"/>
      <c r="AR57" s="502"/>
      <c r="AT57" s="502"/>
    </row>
    <row r="58" spans="1:59" ht="15.75">
      <c r="A58" s="126" t="s">
        <v>3</v>
      </c>
      <c r="B58" s="108">
        <f>SUM(B48:B57)</f>
        <v>20</v>
      </c>
      <c r="C58" s="108">
        <f>SUM(C48:C57)</f>
        <v>12</v>
      </c>
      <c r="D58" s="108">
        <f>SUM(D48:D57)</f>
        <v>4</v>
      </c>
      <c r="E58" s="584">
        <f>SUM(E48:E57)</f>
        <v>14</v>
      </c>
      <c r="F58" s="127">
        <f>MAX(F48:F56)</f>
        <v>50</v>
      </c>
      <c r="H58" s="127">
        <f>MAX(H48:H56)</f>
        <v>31</v>
      </c>
      <c r="I58" s="108">
        <f>SUM(I48:I57)</f>
        <v>17</v>
      </c>
      <c r="J58" s="108">
        <f>SUM(J48:J57)</f>
        <v>3</v>
      </c>
      <c r="K58" s="108">
        <f>SUM(K48:K57)</f>
        <v>8</v>
      </c>
      <c r="L58" s="108">
        <f>SUM(L48:L57)</f>
        <v>3</v>
      </c>
      <c r="N58" s="126" t="s">
        <v>3</v>
      </c>
      <c r="O58" s="108">
        <f>SUM(O48:O57)</f>
        <v>11</v>
      </c>
      <c r="P58" s="108">
        <f>SUM(P48:P57)</f>
        <v>3</v>
      </c>
      <c r="Q58" s="108">
        <f>SUM(Q48:Q57)</f>
        <v>12</v>
      </c>
      <c r="R58" s="108">
        <f>SUM(R48:R57)</f>
        <v>9</v>
      </c>
      <c r="S58" s="127">
        <f>MAX(S48:S56)</f>
        <v>35</v>
      </c>
      <c r="U58" s="127">
        <f>MAX(U48:U56)</f>
        <v>50</v>
      </c>
      <c r="V58" s="108">
        <f>SUM(V48:V57)</f>
        <v>9</v>
      </c>
      <c r="W58" s="584">
        <f>SUM(W48:W57)</f>
        <v>15</v>
      </c>
      <c r="X58" s="108">
        <f>SUM(X48:X57)</f>
        <v>8</v>
      </c>
      <c r="Y58" s="108">
        <f>SUM(Y48:Y57)</f>
        <v>18</v>
      </c>
      <c r="AA58" s="502"/>
      <c r="AB58" s="502"/>
      <c r="AC58" s="502"/>
      <c r="AD58" s="502"/>
      <c r="AE58" s="502"/>
      <c r="AF58" s="502"/>
      <c r="AG58" s="502"/>
      <c r="AN58" s="502"/>
      <c r="AO58" s="502"/>
      <c r="AP58" s="502"/>
      <c r="AQ58" s="502"/>
      <c r="AR58" s="502"/>
      <c r="AT58" s="502"/>
    </row>
    <row r="59" spans="1:59" ht="15.75">
      <c r="A59" s="128" t="s">
        <v>4</v>
      </c>
      <c r="B59" s="117">
        <f>COUNTA(B48:B57)</f>
        <v>3</v>
      </c>
      <c r="C59" s="117">
        <f>COUNTA(C48:C57)</f>
        <v>2</v>
      </c>
      <c r="D59" s="117">
        <f>COUNTA(D48:D57)</f>
        <v>2</v>
      </c>
      <c r="E59" s="117">
        <f>COUNTA(E48:E57)</f>
        <v>2</v>
      </c>
      <c r="F59" s="127">
        <f>SUM(B59:E59)</f>
        <v>9</v>
      </c>
      <c r="H59" s="127">
        <f>SUM(I59:L59)</f>
        <v>8</v>
      </c>
      <c r="I59" s="117">
        <f>COUNTA(I48:I57)</f>
        <v>2</v>
      </c>
      <c r="J59" s="117">
        <f>COUNTA(J48:J57)</f>
        <v>2</v>
      </c>
      <c r="K59" s="117">
        <f>COUNTA(K48:K57)</f>
        <v>2</v>
      </c>
      <c r="L59" s="117">
        <f>COUNTA(L48:L57)</f>
        <v>2</v>
      </c>
      <c r="N59" s="128" t="s">
        <v>4</v>
      </c>
      <c r="O59" s="117">
        <f>COUNTA(O48:O57)</f>
        <v>2</v>
      </c>
      <c r="P59" s="117">
        <f>COUNTA(P48:P57)</f>
        <v>2</v>
      </c>
      <c r="Q59" s="117">
        <f>COUNTA(Q48:Q57)</f>
        <v>2</v>
      </c>
      <c r="R59" s="117">
        <f>COUNTA(R48:R57)</f>
        <v>2</v>
      </c>
      <c r="S59" s="127">
        <f>SUM(O59:R59)</f>
        <v>8</v>
      </c>
      <c r="U59" s="127">
        <f>SUM(V59:Y59)</f>
        <v>8</v>
      </c>
      <c r="V59" s="117">
        <f>COUNTA(V48:V57)</f>
        <v>2</v>
      </c>
      <c r="W59" s="117">
        <f>COUNTA(W48:W57)</f>
        <v>2</v>
      </c>
      <c r="X59" s="117">
        <f>COUNTA(X48:X57)</f>
        <v>2</v>
      </c>
      <c r="Y59" s="117">
        <f>COUNTA(Y48:Y57)</f>
        <v>2</v>
      </c>
      <c r="AA59" s="502"/>
      <c r="AB59" s="502"/>
      <c r="AC59" s="502"/>
      <c r="AD59" s="502"/>
      <c r="AE59" s="502"/>
      <c r="AF59" s="502"/>
      <c r="AG59" s="502"/>
      <c r="AN59" s="502"/>
      <c r="AO59" s="502"/>
      <c r="AP59" s="502"/>
      <c r="AQ59" s="502"/>
      <c r="AR59" s="502"/>
      <c r="AT59" s="502"/>
    </row>
    <row r="60" spans="1:59" ht="15.75">
      <c r="A60" s="126" t="s">
        <v>6</v>
      </c>
      <c r="B60" s="584">
        <f>B59-COUNT(B48:B57)</f>
        <v>0</v>
      </c>
      <c r="C60" s="108">
        <f>C59-COUNT(C48:C57)</f>
        <v>0</v>
      </c>
      <c r="D60" s="584">
        <f>D59-COUNT(D48:D57)</f>
        <v>1</v>
      </c>
      <c r="E60" s="584">
        <f>E59-COUNT(E48:E57)</f>
        <v>0</v>
      </c>
      <c r="F60" s="127">
        <f>SUM(B60:E60)</f>
        <v>1</v>
      </c>
      <c r="H60" s="127">
        <f>SUM(I60:L60)</f>
        <v>2</v>
      </c>
      <c r="I60" s="108">
        <f>I59-COUNT(I48:I57)</f>
        <v>0</v>
      </c>
      <c r="J60" s="108">
        <f>J59-COUNT(J48:J57)</f>
        <v>1</v>
      </c>
      <c r="K60" s="108">
        <f>K59-COUNT(K48:K57)</f>
        <v>0</v>
      </c>
      <c r="L60" s="108">
        <f>L59-COUNT(L48:L57)</f>
        <v>1</v>
      </c>
      <c r="N60" s="126" t="s">
        <v>6</v>
      </c>
      <c r="O60" s="108">
        <f>O59-COUNT(O48:O57)</f>
        <v>1</v>
      </c>
      <c r="P60" s="108">
        <f>P59-COUNT(P48:P57)</f>
        <v>1</v>
      </c>
      <c r="Q60" s="108">
        <f>Q59-COUNT(Q48:Q57)</f>
        <v>0</v>
      </c>
      <c r="R60" s="108">
        <f>R59-COUNT(R48:R57)</f>
        <v>0</v>
      </c>
      <c r="S60" s="127">
        <f>SUM(O60:R60)</f>
        <v>2</v>
      </c>
      <c r="U60" s="127">
        <f>SUM(V60:Y60)</f>
        <v>1</v>
      </c>
      <c r="V60" s="108">
        <f>V59-COUNT(V48:V57)</f>
        <v>0</v>
      </c>
      <c r="W60" s="584">
        <f>W59-COUNT(W48:W57)</f>
        <v>0</v>
      </c>
      <c r="X60" s="584">
        <f>X59-COUNT(X48:X57)</f>
        <v>1</v>
      </c>
      <c r="Y60" s="108">
        <f>Y59-COUNT(Y48:Y57)</f>
        <v>0</v>
      </c>
      <c r="AA60" s="502"/>
      <c r="AB60" s="502"/>
      <c r="AC60" s="502"/>
      <c r="AD60" s="502"/>
      <c r="AE60" s="502"/>
      <c r="AF60" s="502"/>
      <c r="AG60" s="502"/>
      <c r="AN60" s="502"/>
      <c r="AO60" s="502"/>
      <c r="AP60" s="502"/>
      <c r="AQ60" s="502"/>
      <c r="AR60" s="502"/>
      <c r="AT60" s="502"/>
    </row>
    <row r="61" spans="1:59" ht="15.75">
      <c r="A61" s="126" t="s">
        <v>12</v>
      </c>
      <c r="B61" s="933">
        <f>B60/B59</f>
        <v>0</v>
      </c>
      <c r="C61" s="129">
        <f>C60/C59</f>
        <v>0</v>
      </c>
      <c r="D61" s="131">
        <f>D60/D59</f>
        <v>0.5</v>
      </c>
      <c r="E61" s="131">
        <f>E60/E59</f>
        <v>0</v>
      </c>
      <c r="F61" s="130">
        <f>F60/F59</f>
        <v>0.1111111111111111</v>
      </c>
      <c r="H61" s="130">
        <f>H60/H59</f>
        <v>0.25</v>
      </c>
      <c r="I61" s="933">
        <f>I60/I59</f>
        <v>0</v>
      </c>
      <c r="J61" s="129">
        <f>J60/J59</f>
        <v>0.5</v>
      </c>
      <c r="K61" s="129">
        <f>K60/K59</f>
        <v>0</v>
      </c>
      <c r="L61" s="129">
        <f>L60/L59</f>
        <v>0.5</v>
      </c>
      <c r="N61" s="126" t="s">
        <v>12</v>
      </c>
      <c r="O61" s="933">
        <f>O60/O59</f>
        <v>0.5</v>
      </c>
      <c r="P61" s="129">
        <f>P60/P59</f>
        <v>0.5</v>
      </c>
      <c r="Q61" s="129">
        <f>Q60/Q59</f>
        <v>0</v>
      </c>
      <c r="R61" s="129">
        <f>R60/R59</f>
        <v>0</v>
      </c>
      <c r="S61" s="130">
        <f>S60/S59</f>
        <v>0.25</v>
      </c>
      <c r="U61" s="130">
        <f>U60/U59</f>
        <v>0.125</v>
      </c>
      <c r="V61" s="129">
        <f>V60/V59</f>
        <v>0</v>
      </c>
      <c r="W61" s="131">
        <f>W60/W59</f>
        <v>0</v>
      </c>
      <c r="X61" s="131">
        <f>X60/X59</f>
        <v>0.5</v>
      </c>
      <c r="Y61" s="129">
        <f>Y60/Y59</f>
        <v>0</v>
      </c>
      <c r="AA61" s="502"/>
      <c r="AB61" s="502"/>
      <c r="AC61" s="502"/>
      <c r="AD61" s="502"/>
      <c r="AE61" s="502"/>
      <c r="AF61" s="502"/>
      <c r="AG61" s="502"/>
      <c r="AN61" s="502"/>
      <c r="AO61" s="502"/>
      <c r="AP61" s="502"/>
      <c r="AQ61" s="502"/>
      <c r="AR61" s="502"/>
      <c r="AT61" s="502"/>
    </row>
    <row r="62" spans="1:59" ht="15.75">
      <c r="A62" s="126" t="s">
        <v>5</v>
      </c>
      <c r="B62" s="132">
        <f>B58/B59</f>
        <v>6.666666666666667</v>
      </c>
      <c r="C62" s="132">
        <f>C58/C59</f>
        <v>6</v>
      </c>
      <c r="D62" s="132">
        <f>D58/D59</f>
        <v>2</v>
      </c>
      <c r="E62" s="134">
        <f>E58/E59</f>
        <v>7</v>
      </c>
      <c r="F62" s="133">
        <f>F58/F59</f>
        <v>5.5555555555555554</v>
      </c>
      <c r="H62" s="133">
        <f>H58/H59</f>
        <v>3.875</v>
      </c>
      <c r="I62" s="132">
        <f>I58/I59</f>
        <v>8.5</v>
      </c>
      <c r="J62" s="132">
        <f>J58/J59</f>
        <v>1.5</v>
      </c>
      <c r="K62" s="132">
        <f>K58/K59</f>
        <v>4</v>
      </c>
      <c r="L62" s="132">
        <f>L58/L59</f>
        <v>1.5</v>
      </c>
      <c r="N62" s="126" t="s">
        <v>5</v>
      </c>
      <c r="O62" s="132">
        <f>O58/O59</f>
        <v>5.5</v>
      </c>
      <c r="P62" s="132">
        <f>P58/P59</f>
        <v>1.5</v>
      </c>
      <c r="Q62" s="132">
        <f>Q58/Q59</f>
        <v>6</v>
      </c>
      <c r="R62" s="132">
        <f>R58/R59</f>
        <v>4.5</v>
      </c>
      <c r="S62" s="133">
        <f>S58/S59</f>
        <v>4.375</v>
      </c>
      <c r="U62" s="133">
        <f>U58/U59</f>
        <v>6.25</v>
      </c>
      <c r="V62" s="132">
        <f>V58/V59</f>
        <v>4.5</v>
      </c>
      <c r="W62" s="134">
        <f>W58/W59</f>
        <v>7.5</v>
      </c>
      <c r="X62" s="132">
        <f>X58/X59</f>
        <v>4</v>
      </c>
      <c r="Y62" s="132">
        <f>Y58/Y59</f>
        <v>9</v>
      </c>
      <c r="AA62" s="502"/>
      <c r="AB62" s="502"/>
      <c r="AC62" s="502"/>
      <c r="AD62" s="502"/>
      <c r="AE62" s="502"/>
      <c r="AF62" s="502"/>
      <c r="AG62" s="502"/>
      <c r="AN62" s="502"/>
      <c r="AO62" s="502"/>
      <c r="AP62" s="502"/>
      <c r="AQ62" s="502"/>
      <c r="AR62" s="502"/>
      <c r="AT62" s="502"/>
    </row>
    <row r="63" spans="1:59" ht="15.75">
      <c r="A63" s="126" t="s">
        <v>8</v>
      </c>
      <c r="B63" s="135">
        <f>B58/(B59-B60)</f>
        <v>6.666666666666667</v>
      </c>
      <c r="C63" s="135">
        <f>C58/(C59-C60)</f>
        <v>6</v>
      </c>
      <c r="D63" s="132">
        <f>D58/(D59-D60)</f>
        <v>4</v>
      </c>
      <c r="E63" s="134">
        <f>E58/(E59-E60)</f>
        <v>7</v>
      </c>
      <c r="F63" s="136">
        <f>F58/(F59-F60)</f>
        <v>6.25</v>
      </c>
      <c r="H63" s="136">
        <f>H58/(H59-H60)</f>
        <v>5.166666666666667</v>
      </c>
      <c r="I63" s="135">
        <f>I58/(I59-I60)</f>
        <v>8.5</v>
      </c>
      <c r="J63" s="135">
        <f>J58/(J59-J60)</f>
        <v>3</v>
      </c>
      <c r="K63" s="135">
        <f>K58/(K59-K60)</f>
        <v>4</v>
      </c>
      <c r="L63" s="135">
        <f>L58/(L59-L60)</f>
        <v>3</v>
      </c>
      <c r="N63" s="126" t="s">
        <v>8</v>
      </c>
      <c r="O63" s="135">
        <f>O58/(O59-O60)</f>
        <v>11</v>
      </c>
      <c r="P63" s="135">
        <f>P58/(P59-P60)</f>
        <v>3</v>
      </c>
      <c r="Q63" s="135">
        <f>Q58/(Q59-Q60)</f>
        <v>6</v>
      </c>
      <c r="R63" s="135">
        <f>R58/(R59-R60)</f>
        <v>4.5</v>
      </c>
      <c r="S63" s="136">
        <f>S58/(S59-S60)</f>
        <v>5.833333333333333</v>
      </c>
      <c r="U63" s="136">
        <f>U58/(U59-U60)</f>
        <v>7.1428571428571432</v>
      </c>
      <c r="V63" s="135">
        <f>V58/(V59-V60)</f>
        <v>4.5</v>
      </c>
      <c r="W63" s="134">
        <f>W58/(W59-W60)</f>
        <v>7.5</v>
      </c>
      <c r="X63" s="135">
        <f>X58/(X59-X60)</f>
        <v>8</v>
      </c>
      <c r="Y63" s="135">
        <f>Y58/(Y59-Y60)</f>
        <v>9</v>
      </c>
      <c r="AA63" s="502"/>
      <c r="AB63" s="502"/>
      <c r="AC63" s="502"/>
      <c r="AD63" s="502"/>
      <c r="AE63" s="502"/>
      <c r="AF63" s="502"/>
      <c r="AG63" s="502"/>
      <c r="AN63" s="502"/>
      <c r="AO63" s="502"/>
      <c r="AP63" s="502"/>
      <c r="AQ63" s="502"/>
      <c r="AR63" s="502"/>
      <c r="AT63" s="502"/>
    </row>
    <row r="64" spans="1:59" s="111" customFormat="1">
      <c r="A64" s="109"/>
      <c r="B64" s="110"/>
      <c r="C64" s="580"/>
      <c r="D64" s="110"/>
      <c r="E64" s="580"/>
      <c r="F64" s="580"/>
      <c r="G64" s="580"/>
      <c r="N64" s="109"/>
      <c r="O64" s="110"/>
      <c r="P64" s="580"/>
      <c r="Q64" s="110"/>
      <c r="R64" s="580"/>
      <c r="T64" s="580"/>
      <c r="AA64" s="109"/>
      <c r="AB64" s="110"/>
      <c r="AC64" s="580"/>
      <c r="AD64" s="110"/>
      <c r="AE64" s="580"/>
      <c r="AF64" s="580"/>
      <c r="AG64" s="580"/>
      <c r="AN64" s="109"/>
      <c r="AO64" s="110"/>
      <c r="AP64" s="580"/>
      <c r="AQ64" s="110"/>
      <c r="AR64" s="580"/>
      <c r="AT64" s="580"/>
      <c r="BG64" s="580"/>
    </row>
    <row r="65" spans="1:59" ht="15.75">
      <c r="B65" s="1540" t="s">
        <v>131</v>
      </c>
      <c r="C65" s="1540"/>
      <c r="D65" s="1540"/>
      <c r="E65" s="1540"/>
      <c r="I65" s="1543" t="s">
        <v>92</v>
      </c>
      <c r="J65" s="1543"/>
      <c r="K65" s="1543"/>
      <c r="L65" s="1543"/>
      <c r="N65" s="502"/>
      <c r="O65" s="502"/>
      <c r="P65" s="502"/>
      <c r="Q65" s="502"/>
      <c r="R65" s="502"/>
      <c r="T65" s="502"/>
      <c r="AA65" s="502"/>
      <c r="AB65" s="502"/>
      <c r="AC65" s="502"/>
      <c r="AD65" s="502"/>
      <c r="AE65" s="502"/>
      <c r="AF65" s="502"/>
      <c r="AG65" s="502"/>
      <c r="AN65" s="502"/>
      <c r="AO65" s="502"/>
      <c r="AP65" s="502"/>
      <c r="AQ65" s="502"/>
      <c r="AR65" s="502"/>
      <c r="AT65" s="502"/>
    </row>
    <row r="66" spans="1:59" ht="15.75">
      <c r="B66" s="469">
        <v>1</v>
      </c>
      <c r="C66" s="470">
        <v>2</v>
      </c>
      <c r="D66" s="471">
        <v>3</v>
      </c>
      <c r="E66" s="872">
        <v>4</v>
      </c>
      <c r="F66" s="113">
        <f>IF(COUNTIF(F68:F68,"&gt;37")=0,0,COUNTIF(F68:F68,"&gt;37")-1)</f>
        <v>0</v>
      </c>
      <c r="H66" s="113">
        <f>IF(COUNTIF(H68:H68,"&gt;37")=0,0,COUNTIF(H68:H68,"&gt;37")-1)</f>
        <v>0</v>
      </c>
      <c r="I66" s="934">
        <v>1</v>
      </c>
      <c r="J66" s="935">
        <v>2</v>
      </c>
      <c r="K66" s="936">
        <v>3</v>
      </c>
      <c r="L66" s="937">
        <v>4</v>
      </c>
      <c r="N66" s="502"/>
      <c r="O66" s="502"/>
      <c r="P66" s="502"/>
      <c r="Q66" s="502"/>
      <c r="R66" s="502"/>
      <c r="T66" s="502"/>
      <c r="AA66" s="502"/>
      <c r="AB66" s="502"/>
      <c r="AC66" s="502"/>
      <c r="AD66" s="502"/>
      <c r="AE66" s="502"/>
      <c r="AF66" s="502"/>
      <c r="AG66" s="502"/>
      <c r="AN66" s="502"/>
      <c r="AO66" s="502"/>
      <c r="AP66" s="502"/>
      <c r="AQ66" s="502"/>
      <c r="AR66" s="502"/>
      <c r="AT66" s="502"/>
    </row>
    <row r="67" spans="1:59" ht="54">
      <c r="B67" s="473" t="s">
        <v>9</v>
      </c>
      <c r="C67" s="474" t="s">
        <v>132</v>
      </c>
      <c r="D67" s="475" t="s">
        <v>133</v>
      </c>
      <c r="E67" s="476" t="s">
        <v>134</v>
      </c>
      <c r="F67" s="115"/>
      <c r="G67" s="628"/>
      <c r="I67" s="938"/>
      <c r="J67" s="939"/>
      <c r="K67" s="939"/>
      <c r="L67" s="938"/>
      <c r="N67" s="502"/>
      <c r="O67" s="502"/>
      <c r="P67" s="502"/>
      <c r="Q67" s="502"/>
      <c r="R67" s="502"/>
      <c r="T67" s="502"/>
      <c r="AA67" s="502"/>
      <c r="AB67" s="502"/>
      <c r="AC67" s="502"/>
      <c r="AD67" s="502"/>
      <c r="AE67" s="502"/>
      <c r="AF67" s="502"/>
      <c r="AG67" s="502"/>
      <c r="AN67" s="502"/>
      <c r="AO67" s="502"/>
      <c r="AP67" s="502"/>
      <c r="AQ67" s="502"/>
      <c r="AR67" s="502"/>
      <c r="AT67" s="502"/>
    </row>
    <row r="68" spans="1:59" ht="15.75">
      <c r="A68" s="118">
        <v>1</v>
      </c>
      <c r="B68" s="108"/>
      <c r="C68" s="117"/>
      <c r="D68" s="117"/>
      <c r="E68" s="119"/>
      <c r="F68" s="120">
        <v>50</v>
      </c>
      <c r="G68" s="595">
        <f>F68-H68</f>
        <v>50</v>
      </c>
      <c r="H68" s="120">
        <f>SUM($I$68:L68)</f>
        <v>0</v>
      </c>
      <c r="I68" s="121" t="s">
        <v>173</v>
      </c>
      <c r="J68" s="117"/>
      <c r="K68" s="117"/>
      <c r="L68" s="107"/>
      <c r="N68" s="502"/>
      <c r="O68" s="502"/>
      <c r="P68" s="502"/>
      <c r="Q68" s="502"/>
      <c r="R68" s="502"/>
      <c r="T68" s="502"/>
      <c r="AA68" s="502"/>
      <c r="AB68" s="502"/>
      <c r="AC68" s="502"/>
      <c r="AD68" s="502"/>
      <c r="AE68" s="502"/>
      <c r="AF68" s="502"/>
      <c r="AG68" s="502"/>
      <c r="AN68" s="502"/>
      <c r="AO68" s="502"/>
      <c r="AP68" s="502"/>
      <c r="AQ68" s="502"/>
      <c r="AR68" s="502"/>
      <c r="AT68" s="502"/>
    </row>
    <row r="69" spans="1:59" s="111" customFormat="1">
      <c r="A69" s="109"/>
      <c r="B69" s="110"/>
      <c r="C69" s="110"/>
      <c r="D69" s="110"/>
      <c r="E69" s="580"/>
      <c r="F69" s="580"/>
      <c r="G69" s="580"/>
      <c r="N69" s="109"/>
      <c r="O69" s="110"/>
      <c r="P69" s="110"/>
      <c r="Q69" s="110"/>
      <c r="R69" s="580"/>
      <c r="T69" s="580"/>
      <c r="AA69" s="109"/>
      <c r="AB69" s="110"/>
      <c r="AC69" s="110"/>
      <c r="AD69" s="110"/>
      <c r="AE69" s="580"/>
      <c r="AF69" s="580"/>
      <c r="AG69" s="580"/>
      <c r="AN69" s="109"/>
      <c r="AO69" s="110"/>
      <c r="AP69" s="110"/>
      <c r="AQ69" s="110"/>
      <c r="AR69" s="580"/>
      <c r="AT69" s="580"/>
      <c r="BG69" s="580"/>
    </row>
  </sheetData>
  <mergeCells count="24">
    <mergeCell ref="B2:E2"/>
    <mergeCell ref="I2:L2"/>
    <mergeCell ref="O2:R2"/>
    <mergeCell ref="V2:Y2"/>
    <mergeCell ref="B25:E25"/>
    <mergeCell ref="I25:L25"/>
    <mergeCell ref="O25:R25"/>
    <mergeCell ref="V25:Y25"/>
    <mergeCell ref="B45:E45"/>
    <mergeCell ref="I45:L45"/>
    <mergeCell ref="O45:R45"/>
    <mergeCell ref="V45:Y45"/>
    <mergeCell ref="B65:E65"/>
    <mergeCell ref="I65:L65"/>
    <mergeCell ref="BB25:BE25"/>
    <mergeCell ref="BI25:BL25"/>
    <mergeCell ref="AB2:AE2"/>
    <mergeCell ref="AI2:AL2"/>
    <mergeCell ref="AO2:AR2"/>
    <mergeCell ref="AV2:AY2"/>
    <mergeCell ref="AB25:AE25"/>
    <mergeCell ref="AI25:AL25"/>
    <mergeCell ref="AO25:AR25"/>
    <mergeCell ref="AV25:AY25"/>
  </mergeCells>
  <conditionalFormatting sqref="F5:F12 F48:F56 S48:S55 F68">
    <cfRule type="cellIs" dxfId="79" priority="98" operator="lessThan">
      <formula>H5</formula>
    </cfRule>
    <cfRule type="cellIs" dxfId="78" priority="99" operator="greaterThanOrEqual">
      <formula>H5</formula>
    </cfRule>
  </conditionalFormatting>
  <conditionalFormatting sqref="H5:H12 H48:H56 U48:U55 H68">
    <cfRule type="cellIs" dxfId="77" priority="96" operator="lessThan">
      <formula>F5</formula>
    </cfRule>
    <cfRule type="cellIs" dxfId="76" priority="97" operator="greaterThanOrEqual">
      <formula>F5</formula>
    </cfRule>
  </conditionalFormatting>
  <conditionalFormatting sqref="S5:S11">
    <cfRule type="cellIs" dxfId="75" priority="94" operator="lessThan">
      <formula>U5</formula>
    </cfRule>
    <cfRule type="cellIs" dxfId="74" priority="95" operator="greaterThanOrEqual">
      <formula>U5</formula>
    </cfRule>
  </conditionalFormatting>
  <conditionalFormatting sqref="U5:U11">
    <cfRule type="cellIs" dxfId="73" priority="92" operator="lessThan">
      <formula>S5</formula>
    </cfRule>
    <cfRule type="cellIs" dxfId="72" priority="93" operator="greaterThanOrEqual">
      <formula>S5</formula>
    </cfRule>
  </conditionalFormatting>
  <conditionalFormatting sqref="F28:F36">
    <cfRule type="cellIs" dxfId="71" priority="90" operator="lessThan">
      <formula>H28</formula>
    </cfRule>
    <cfRule type="cellIs" dxfId="70" priority="91" operator="greaterThanOrEqual">
      <formula>H28</formula>
    </cfRule>
  </conditionalFormatting>
  <conditionalFormatting sqref="H28:H36">
    <cfRule type="cellIs" dxfId="69" priority="88" operator="lessThan">
      <formula>F28</formula>
    </cfRule>
    <cfRule type="cellIs" dxfId="68" priority="89" operator="greaterThanOrEqual">
      <formula>F28</formula>
    </cfRule>
  </conditionalFormatting>
  <conditionalFormatting sqref="U28:U33">
    <cfRule type="cellIs" dxfId="67" priority="84" operator="lessThan">
      <formula>S28</formula>
    </cfRule>
    <cfRule type="cellIs" dxfId="66" priority="85" operator="greaterThanOrEqual">
      <formula>S28</formula>
    </cfRule>
  </conditionalFormatting>
  <conditionalFormatting sqref="S28:S33">
    <cfRule type="cellIs" dxfId="65" priority="82" operator="lessThan">
      <formula>U28</formula>
    </cfRule>
    <cfRule type="cellIs" dxfId="64" priority="83" operator="greaterThanOrEqual">
      <formula>U28</formula>
    </cfRule>
  </conditionalFormatting>
  <conditionalFormatting sqref="AF5:AF16">
    <cfRule type="cellIs" dxfId="63" priority="36" operator="lessThan">
      <formula>AH5</formula>
    </cfRule>
    <cfRule type="cellIs" dxfId="62" priority="37" operator="greaterThanOrEqual">
      <formula>AH5</formula>
    </cfRule>
  </conditionalFormatting>
  <conditionalFormatting sqref="AH5:AH16">
    <cfRule type="cellIs" dxfId="61" priority="34" operator="lessThan">
      <formula>AF5</formula>
    </cfRule>
    <cfRule type="cellIs" dxfId="60" priority="35" operator="greaterThanOrEqual">
      <formula>AF5</formula>
    </cfRule>
  </conditionalFormatting>
  <conditionalFormatting sqref="AS5:AS15">
    <cfRule type="cellIs" dxfId="59" priority="32" operator="lessThan">
      <formula>AU5</formula>
    </cfRule>
    <cfRule type="cellIs" dxfId="58" priority="33" operator="greaterThanOrEqual">
      <formula>AU5</formula>
    </cfRule>
  </conditionalFormatting>
  <conditionalFormatting sqref="AU5:AU15">
    <cfRule type="cellIs" dxfId="57" priority="30" operator="lessThan">
      <formula>AS5</formula>
    </cfRule>
    <cfRule type="cellIs" dxfId="56" priority="31" operator="greaterThanOrEqual">
      <formula>AS5</formula>
    </cfRule>
  </conditionalFormatting>
  <conditionalFormatting sqref="AF28:AF34">
    <cfRule type="cellIs" dxfId="55" priority="28" operator="lessThan">
      <formula>AH28</formula>
    </cfRule>
    <cfRule type="cellIs" dxfId="54" priority="29" operator="greaterThanOrEqual">
      <formula>AH28</formula>
    </cfRule>
  </conditionalFormatting>
  <conditionalFormatting sqref="AH28:AH34">
    <cfRule type="cellIs" dxfId="53" priority="26" operator="lessThan">
      <formula>AF28</formula>
    </cfRule>
    <cfRule type="cellIs" dxfId="52" priority="27" operator="greaterThanOrEqual">
      <formula>AF28</formula>
    </cfRule>
  </conditionalFormatting>
  <conditionalFormatting sqref="AU28:AU36">
    <cfRule type="cellIs" dxfId="51" priority="24" operator="lessThan">
      <formula>AS28</formula>
    </cfRule>
    <cfRule type="cellIs" dxfId="50" priority="25" operator="greaterThanOrEqual">
      <formula>AS28</formula>
    </cfRule>
  </conditionalFormatting>
  <conditionalFormatting sqref="AS28:AS36">
    <cfRule type="cellIs" dxfId="49" priority="22" operator="lessThan">
      <formula>AU28</formula>
    </cfRule>
    <cfRule type="cellIs" dxfId="48" priority="23" operator="greaterThanOrEqual">
      <formula>AU28</formula>
    </cfRule>
  </conditionalFormatting>
  <conditionalFormatting sqref="BH28:BH35">
    <cfRule type="cellIs" dxfId="47" priority="4" operator="lessThan">
      <formula>BF28</formula>
    </cfRule>
    <cfRule type="cellIs" dxfId="46" priority="5" operator="greaterThanOrEqual">
      <formula>BF28</formula>
    </cfRule>
  </conditionalFormatting>
  <conditionalFormatting sqref="BF28:BF35">
    <cfRule type="cellIs" dxfId="45" priority="2" operator="lessThan">
      <formula>BH28</formula>
    </cfRule>
    <cfRule type="cellIs" dxfId="44" priority="3" operator="greaterThanOrEqual">
      <formula>BH28</formula>
    </cfRule>
  </conditionalFormatting>
  <conditionalFormatting sqref="T58">
    <cfRule type="iconSet" priority="1">
      <iconSet iconSet="3Arrows">
        <cfvo type="percent" val="0"/>
        <cfvo type="percent" val="33"/>
        <cfvo type="percent" val="67"/>
      </iconSet>
    </cfRule>
  </conditionalFormatting>
  <pageMargins left="0.70866141732283472" right="0.70866141732283472" top="0.78740157480314965" bottom="0.78740157480314965" header="0.31496062992125984" footer="0.31496062992125984"/>
  <pageSetup paperSize="9" scale="2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BM123"/>
  <sheetViews>
    <sheetView zoomScale="70" zoomScaleNormal="70" zoomScaleSheetLayoutView="25" workbookViewId="0">
      <selection activeCell="A2" sqref="A2"/>
    </sheetView>
  </sheetViews>
  <sheetFormatPr baseColWidth="10" defaultRowHeight="15"/>
  <cols>
    <col min="1" max="1" width="17.85546875" style="581" bestFit="1" customWidth="1"/>
    <col min="2" max="4" width="6.7109375" style="582" customWidth="1"/>
    <col min="5" max="5" width="6.7109375" style="583" customWidth="1"/>
    <col min="6" max="6" width="7.7109375" style="502" bestFit="1" customWidth="1"/>
    <col min="7" max="7" width="5.5703125" style="583" bestFit="1" customWidth="1"/>
    <col min="8" max="8" width="7.7109375" style="502" bestFit="1" customWidth="1"/>
    <col min="9" max="12" width="7.7109375" style="502" customWidth="1"/>
    <col min="13" max="13" width="3.7109375" style="111" customWidth="1"/>
    <col min="14" max="14" width="17.85546875" style="581" bestFit="1" customWidth="1"/>
    <col min="15" max="17" width="7.7109375" style="582" customWidth="1"/>
    <col min="18" max="18" width="7.7109375" style="583" customWidth="1"/>
    <col min="19" max="19" width="7.28515625" style="583" bestFit="1" customWidth="1"/>
    <col min="20" max="20" width="5.5703125" style="583" bestFit="1" customWidth="1"/>
    <col min="21" max="21" width="7.7109375" style="502" bestFit="1" customWidth="1"/>
    <col min="22" max="25" width="6.7109375" style="502" customWidth="1"/>
    <col min="26" max="26" width="3.7109375" style="111" customWidth="1"/>
    <col min="27" max="27" width="17.85546875" style="581" bestFit="1" customWidth="1"/>
    <col min="28" max="30" width="6.7109375" style="582" customWidth="1"/>
    <col min="31" max="31" width="6.7109375" style="583" customWidth="1"/>
    <col min="32" max="32" width="7.28515625" style="502" bestFit="1" customWidth="1"/>
    <col min="33" max="33" width="5.5703125" style="583" bestFit="1" customWidth="1"/>
    <col min="34" max="34" width="7.28515625" style="502" bestFit="1" customWidth="1"/>
    <col min="35" max="38" width="7.7109375" style="502" customWidth="1"/>
    <col min="39" max="39" width="3.7109375" style="111" customWidth="1"/>
    <col min="40" max="40" width="14.42578125" style="581" bestFit="1" customWidth="1"/>
    <col min="41" max="43" width="7.7109375" style="582" customWidth="1"/>
    <col min="44" max="44" width="7.7109375" style="583" customWidth="1"/>
    <col min="45" max="45" width="7.7109375" style="502" bestFit="1" customWidth="1"/>
    <col min="46" max="46" width="5.5703125" style="583" bestFit="1" customWidth="1"/>
    <col min="47" max="47" width="7.28515625" style="502" bestFit="1" customWidth="1"/>
    <col min="48" max="51" width="6.7109375" style="502" customWidth="1"/>
    <col min="52" max="52" width="3.7109375" style="111" customWidth="1"/>
    <col min="53" max="53" width="14.42578125" style="581" bestFit="1" customWidth="1"/>
    <col min="54" max="56" width="6.7109375" style="582" customWidth="1"/>
    <col min="57" max="57" width="6.7109375" style="583" customWidth="1"/>
    <col min="58" max="58" width="7.7109375" style="502" bestFit="1" customWidth="1"/>
    <col min="59" max="59" width="6.140625" style="583" bestFit="1" customWidth="1"/>
    <col min="60" max="60" width="7.7109375" style="502" bestFit="1" customWidth="1"/>
    <col min="61" max="64" width="7.7109375" style="502" customWidth="1"/>
    <col min="65" max="65" width="3.7109375" style="111" customWidth="1"/>
    <col min="66" max="16384" width="11.42578125" style="502"/>
  </cols>
  <sheetData>
    <row r="1" spans="1:64" s="111" customFormat="1" ht="15.75">
      <c r="A1" s="648" t="s">
        <v>153</v>
      </c>
      <c r="B1" s="110"/>
      <c r="C1" s="580"/>
      <c r="D1" s="110"/>
      <c r="E1" s="580"/>
      <c r="G1" s="580"/>
      <c r="N1" s="109"/>
      <c r="O1" s="110"/>
      <c r="P1" s="580"/>
      <c r="Q1" s="110"/>
      <c r="R1" s="580"/>
      <c r="S1" s="580"/>
      <c r="T1" s="580"/>
      <c r="AA1" s="109"/>
      <c r="AB1" s="110"/>
      <c r="AC1" s="580"/>
      <c r="AD1" s="110"/>
      <c r="AE1" s="580"/>
      <c r="AG1" s="580"/>
      <c r="AN1" s="109"/>
      <c r="AO1" s="110"/>
      <c r="AP1" s="580"/>
      <c r="AQ1" s="110"/>
      <c r="AR1" s="580"/>
      <c r="AS1" s="580"/>
      <c r="AT1" s="580"/>
      <c r="BA1" s="109"/>
      <c r="BB1" s="110"/>
      <c r="BC1" s="580"/>
      <c r="BD1" s="110"/>
      <c r="BE1" s="580"/>
      <c r="BG1" s="580"/>
    </row>
    <row r="2" spans="1:64">
      <c r="B2" s="1540" t="s">
        <v>103</v>
      </c>
      <c r="C2" s="1540"/>
      <c r="D2" s="1540"/>
      <c r="E2" s="1540"/>
      <c r="I2" s="1541" t="s">
        <v>97</v>
      </c>
      <c r="J2" s="1541"/>
      <c r="K2" s="1541"/>
      <c r="L2" s="1541"/>
      <c r="O2" s="1540" t="s">
        <v>97</v>
      </c>
      <c r="P2" s="1540"/>
      <c r="Q2" s="1540"/>
      <c r="R2" s="1540"/>
      <c r="V2" s="1541" t="s">
        <v>103</v>
      </c>
      <c r="W2" s="1541"/>
      <c r="X2" s="1541"/>
      <c r="Y2" s="1541"/>
      <c r="AB2" s="1541" t="s">
        <v>103</v>
      </c>
      <c r="AC2" s="1541"/>
      <c r="AD2" s="1541"/>
      <c r="AE2" s="1541"/>
      <c r="AI2" s="1540" t="s">
        <v>97</v>
      </c>
      <c r="AJ2" s="1540"/>
      <c r="AK2" s="1540"/>
      <c r="AL2" s="1540"/>
      <c r="AO2" s="1541" t="s">
        <v>97</v>
      </c>
      <c r="AP2" s="1541"/>
      <c r="AQ2" s="1541"/>
      <c r="AR2" s="1541"/>
      <c r="AV2" s="1540" t="s">
        <v>103</v>
      </c>
      <c r="AW2" s="1540"/>
      <c r="AX2" s="1540"/>
      <c r="AY2" s="1540"/>
      <c r="BB2" s="1541" t="s">
        <v>103</v>
      </c>
      <c r="BC2" s="1541"/>
      <c r="BD2" s="1541"/>
      <c r="BE2" s="1541"/>
      <c r="BI2" s="1540" t="s">
        <v>97</v>
      </c>
      <c r="BJ2" s="1540"/>
      <c r="BK2" s="1540"/>
      <c r="BL2" s="1540"/>
    </row>
    <row r="3" spans="1:64" ht="15.75">
      <c r="B3" s="469">
        <v>1</v>
      </c>
      <c r="C3" s="470">
        <v>2</v>
      </c>
      <c r="D3" s="471">
        <v>3</v>
      </c>
      <c r="E3" s="872">
        <v>4</v>
      </c>
      <c r="F3" s="113">
        <f>IF(COUNTIF(F5:F15,"&gt;37")=0,0,COUNTIF(F5:F15,"&gt;37")-1)</f>
        <v>5</v>
      </c>
      <c r="H3" s="113">
        <f>IF(COUNTIF(H5:H15,"&gt;37")=0,0,COUNTIF(H5:H15,"&gt;37")-1)</f>
        <v>0</v>
      </c>
      <c r="I3" s="585">
        <v>1</v>
      </c>
      <c r="J3" s="586">
        <v>2</v>
      </c>
      <c r="K3" s="587">
        <v>3</v>
      </c>
      <c r="L3" s="873">
        <v>4</v>
      </c>
      <c r="O3" s="469">
        <v>1</v>
      </c>
      <c r="P3" s="470">
        <v>2</v>
      </c>
      <c r="Q3" s="471">
        <v>3</v>
      </c>
      <c r="R3" s="872">
        <v>4</v>
      </c>
      <c r="S3" s="113">
        <f>IF(COUNTIF(S5:S15,"&gt;37")=0,0,COUNTIF(S5:S15,"&gt;37")-1)</f>
        <v>2</v>
      </c>
      <c r="U3" s="918">
        <v>2</v>
      </c>
      <c r="V3" s="585">
        <v>1</v>
      </c>
      <c r="W3" s="586">
        <v>2</v>
      </c>
      <c r="X3" s="587">
        <v>3</v>
      </c>
      <c r="Y3" s="873">
        <v>4</v>
      </c>
      <c r="AA3" s="502"/>
      <c r="AB3" s="585">
        <v>1</v>
      </c>
      <c r="AC3" s="586">
        <v>2</v>
      </c>
      <c r="AD3" s="587">
        <v>3</v>
      </c>
      <c r="AE3" s="873">
        <v>4</v>
      </c>
      <c r="AF3" s="113">
        <f>IF(COUNTIF(AF5:AF15,"&gt;37")=0,0,COUNTIF(AF5:AF15,"&gt;37")-1)</f>
        <v>0</v>
      </c>
      <c r="AH3" s="113">
        <f>IF(COUNTIF(AH5:AH15,"&gt;37")=0,0,COUNTIF(AH5:AH15,"&gt;37")-1)</f>
        <v>2</v>
      </c>
      <c r="AI3" s="469">
        <v>1</v>
      </c>
      <c r="AJ3" s="470">
        <v>2</v>
      </c>
      <c r="AK3" s="471">
        <v>3</v>
      </c>
      <c r="AL3" s="872">
        <v>4</v>
      </c>
      <c r="AO3" s="585">
        <v>1</v>
      </c>
      <c r="AP3" s="586">
        <v>2</v>
      </c>
      <c r="AQ3" s="587">
        <v>3</v>
      </c>
      <c r="AR3" s="873">
        <v>4</v>
      </c>
      <c r="AS3" s="113">
        <f>IF(COUNTIF(AS5:AS15,"&gt;37")=0,0,COUNTIF(AS5:AS15,"&gt;37")-1)</f>
        <v>1</v>
      </c>
      <c r="AU3" s="113">
        <f>IF(COUNTIF(AU5:AU15,"&gt;37")=0,0,COUNTIF(AU5:AU15,"&gt;37")-1)</f>
        <v>2</v>
      </c>
      <c r="AV3" s="469">
        <v>1</v>
      </c>
      <c r="AW3" s="470">
        <v>2</v>
      </c>
      <c r="AX3" s="471">
        <v>3</v>
      </c>
      <c r="AY3" s="872">
        <v>4</v>
      </c>
      <c r="BA3" s="502"/>
      <c r="BB3" s="585">
        <v>1</v>
      </c>
      <c r="BC3" s="586">
        <v>2</v>
      </c>
      <c r="BD3" s="587">
        <v>3</v>
      </c>
      <c r="BE3" s="873">
        <v>4</v>
      </c>
      <c r="BF3" s="918">
        <v>6</v>
      </c>
      <c r="BH3" s="113">
        <f>IF(COUNTIF(BH5:BH17,"&gt;37")=0,0,COUNTIF(BH5:BH17,"&gt;37")-1)</f>
        <v>5</v>
      </c>
      <c r="BI3" s="469">
        <v>1</v>
      </c>
      <c r="BJ3" s="470">
        <v>2</v>
      </c>
      <c r="BK3" s="471">
        <v>3</v>
      </c>
      <c r="BL3" s="872">
        <v>4</v>
      </c>
    </row>
    <row r="4" spans="1:64" ht="47.25">
      <c r="B4" s="473" t="s">
        <v>1</v>
      </c>
      <c r="C4" s="474" t="s">
        <v>104</v>
      </c>
      <c r="D4" s="475" t="s">
        <v>53</v>
      </c>
      <c r="E4" s="476" t="s">
        <v>96</v>
      </c>
      <c r="I4" s="592" t="s">
        <v>53</v>
      </c>
      <c r="J4" s="592" t="s">
        <v>0</v>
      </c>
      <c r="K4" s="592" t="s">
        <v>56</v>
      </c>
      <c r="L4" s="592" t="s">
        <v>1</v>
      </c>
      <c r="O4" s="473" t="s">
        <v>0</v>
      </c>
      <c r="P4" s="474" t="s">
        <v>56</v>
      </c>
      <c r="Q4" s="475" t="s">
        <v>1</v>
      </c>
      <c r="R4" s="476" t="s">
        <v>53</v>
      </c>
      <c r="S4" s="115"/>
      <c r="T4" s="628"/>
      <c r="V4" s="592" t="s">
        <v>1</v>
      </c>
      <c r="W4" s="592" t="s">
        <v>104</v>
      </c>
      <c r="X4" s="592" t="s">
        <v>53</v>
      </c>
      <c r="Y4" s="592" t="s">
        <v>96</v>
      </c>
      <c r="AB4" s="592" t="s">
        <v>1</v>
      </c>
      <c r="AC4" s="592" t="s">
        <v>104</v>
      </c>
      <c r="AD4" s="592" t="s">
        <v>53</v>
      </c>
      <c r="AE4" s="592" t="s">
        <v>96</v>
      </c>
      <c r="AF4" s="116"/>
      <c r="AG4" s="628"/>
      <c r="AH4" s="116"/>
      <c r="AI4" s="473" t="s">
        <v>53</v>
      </c>
      <c r="AJ4" s="474" t="s">
        <v>0</v>
      </c>
      <c r="AK4" s="475" t="s">
        <v>56</v>
      </c>
      <c r="AL4" s="476" t="s">
        <v>1</v>
      </c>
      <c r="AO4" s="592" t="s">
        <v>0</v>
      </c>
      <c r="AP4" s="592" t="s">
        <v>56</v>
      </c>
      <c r="AQ4" s="592" t="s">
        <v>1</v>
      </c>
      <c r="AR4" s="592" t="s">
        <v>53</v>
      </c>
      <c r="AS4" s="115"/>
      <c r="AT4" s="628"/>
      <c r="AV4" s="473" t="s">
        <v>1</v>
      </c>
      <c r="AW4" s="474" t="s">
        <v>104</v>
      </c>
      <c r="AX4" s="475" t="s">
        <v>53</v>
      </c>
      <c r="AY4" s="476" t="s">
        <v>96</v>
      </c>
      <c r="BB4" s="592" t="s">
        <v>53</v>
      </c>
      <c r="BC4" s="592" t="s">
        <v>104</v>
      </c>
      <c r="BD4" s="592" t="s">
        <v>1</v>
      </c>
      <c r="BE4" s="592" t="s">
        <v>96</v>
      </c>
      <c r="BF4" s="115"/>
      <c r="BG4" s="628"/>
      <c r="BI4" s="473" t="s">
        <v>53</v>
      </c>
      <c r="BJ4" s="474" t="s">
        <v>0</v>
      </c>
      <c r="BK4" s="475" t="s">
        <v>56</v>
      </c>
      <c r="BL4" s="476" t="s">
        <v>1</v>
      </c>
    </row>
    <row r="5" spans="1:64" ht="15.75">
      <c r="A5" s="118">
        <v>1</v>
      </c>
      <c r="B5" s="108">
        <v>12</v>
      </c>
      <c r="C5" s="117"/>
      <c r="D5" s="117"/>
      <c r="E5" s="119"/>
      <c r="F5" s="120">
        <f>SUM(B$5:$E5)</f>
        <v>12</v>
      </c>
      <c r="G5" s="595">
        <f>F5-H5</f>
        <v>4</v>
      </c>
      <c r="H5" s="120">
        <f>SUM(I$5:$L5)</f>
        <v>8</v>
      </c>
      <c r="I5" s="121">
        <v>8</v>
      </c>
      <c r="J5" s="117"/>
      <c r="K5" s="117"/>
      <c r="L5" s="107"/>
      <c r="N5" s="118">
        <v>1</v>
      </c>
      <c r="O5" s="108">
        <v>10</v>
      </c>
      <c r="P5" s="117"/>
      <c r="Q5" s="117"/>
      <c r="R5" s="119"/>
      <c r="S5" s="120">
        <f>SUM($O$5:R5)</f>
        <v>10</v>
      </c>
      <c r="T5" s="595">
        <f>S5-U5</f>
        <v>1</v>
      </c>
      <c r="U5" s="120">
        <f>SUM($V$5:Y5)</f>
        <v>9</v>
      </c>
      <c r="V5" s="121">
        <v>9</v>
      </c>
      <c r="W5" s="117"/>
      <c r="X5" s="117"/>
      <c r="Y5" s="107"/>
      <c r="AA5" s="118">
        <v>1</v>
      </c>
      <c r="AB5" s="108">
        <v>12</v>
      </c>
      <c r="AC5" s="117"/>
      <c r="AD5" s="117"/>
      <c r="AE5" s="119"/>
      <c r="AF5" s="120">
        <f>SUM($AB$5:AE5)</f>
        <v>12</v>
      </c>
      <c r="AG5" s="595">
        <f>AF5-AH5</f>
        <v>4</v>
      </c>
      <c r="AH5" s="120">
        <f>SUM($AI$5:AL5)</f>
        <v>8</v>
      </c>
      <c r="AI5" s="121">
        <v>8</v>
      </c>
      <c r="AJ5" s="117"/>
      <c r="AK5" s="117"/>
      <c r="AL5" s="107"/>
      <c r="AN5" s="118">
        <v>1</v>
      </c>
      <c r="AO5" s="108">
        <v>10</v>
      </c>
      <c r="AP5" s="117"/>
      <c r="AQ5" s="117"/>
      <c r="AR5" s="119"/>
      <c r="AS5" s="120">
        <f>SUM(AO$5:AR5)</f>
        <v>10</v>
      </c>
      <c r="AT5" s="595">
        <f>AS5-AU5</f>
        <v>3</v>
      </c>
      <c r="AU5" s="120">
        <f>SUM(AV$5:AY5)</f>
        <v>7</v>
      </c>
      <c r="AV5" s="121">
        <v>7</v>
      </c>
      <c r="AW5" s="117"/>
      <c r="AX5" s="117"/>
      <c r="AY5" s="107"/>
      <c r="BA5" s="118">
        <v>1</v>
      </c>
      <c r="BB5" s="108">
        <v>12</v>
      </c>
      <c r="BC5" s="117"/>
      <c r="BD5" s="117"/>
      <c r="BE5" s="119"/>
      <c r="BF5" s="120">
        <f>SUM(BB$5:BE5)</f>
        <v>12</v>
      </c>
      <c r="BG5" s="595">
        <f>BF5-BH5</f>
        <v>9</v>
      </c>
      <c r="BH5" s="120">
        <f>SUM(BI$5:BL5)</f>
        <v>3</v>
      </c>
      <c r="BI5" s="121">
        <v>3</v>
      </c>
      <c r="BJ5" s="117"/>
      <c r="BK5" s="117"/>
      <c r="BL5" s="107"/>
    </row>
    <row r="6" spans="1:64" ht="15.75">
      <c r="A6" s="122">
        <v>2</v>
      </c>
      <c r="B6" s="117"/>
      <c r="C6" s="108">
        <v>6</v>
      </c>
      <c r="D6" s="117"/>
      <c r="E6" s="114"/>
      <c r="F6" s="120">
        <f>SUM(B$5:$E6)</f>
        <v>18</v>
      </c>
      <c r="G6" s="595">
        <f t="shared" ref="G6:G12" si="0">F6-H6</f>
        <v>2</v>
      </c>
      <c r="H6" s="120">
        <f>SUM(I$5:$L6)</f>
        <v>16</v>
      </c>
      <c r="I6" s="123"/>
      <c r="J6" s="108">
        <v>8</v>
      </c>
      <c r="K6" s="117"/>
      <c r="L6" s="117"/>
      <c r="N6" s="122">
        <v>2</v>
      </c>
      <c r="O6" s="117"/>
      <c r="P6" s="108" t="s">
        <v>2</v>
      </c>
      <c r="Q6" s="117"/>
      <c r="R6" s="114"/>
      <c r="S6" s="120">
        <f>SUM($O$5:R6)</f>
        <v>10</v>
      </c>
      <c r="T6" s="595">
        <f t="shared" ref="T6:T12" si="1">S6-U6</f>
        <v>-10</v>
      </c>
      <c r="U6" s="120">
        <f>SUM($V$5:Y6)</f>
        <v>20</v>
      </c>
      <c r="V6" s="123"/>
      <c r="W6" s="108">
        <v>11</v>
      </c>
      <c r="X6" s="117"/>
      <c r="Y6" s="117"/>
      <c r="AA6" s="122">
        <v>2</v>
      </c>
      <c r="AB6" s="117"/>
      <c r="AC6" s="108">
        <v>6</v>
      </c>
      <c r="AD6" s="117"/>
      <c r="AE6" s="114"/>
      <c r="AF6" s="120">
        <f>SUM($AB$5:AE6)</f>
        <v>18</v>
      </c>
      <c r="AG6" s="595">
        <f t="shared" ref="AG6:AG11" si="2">AF6-AH6</f>
        <v>5</v>
      </c>
      <c r="AH6" s="120">
        <f>SUM($AI$5:AL6)</f>
        <v>13</v>
      </c>
      <c r="AI6" s="123"/>
      <c r="AJ6" s="108">
        <v>5</v>
      </c>
      <c r="AK6" s="117"/>
      <c r="AL6" s="117"/>
      <c r="AN6" s="122">
        <v>2</v>
      </c>
      <c r="AO6" s="117"/>
      <c r="AP6" s="108">
        <v>9</v>
      </c>
      <c r="AQ6" s="117"/>
      <c r="AR6" s="114"/>
      <c r="AS6" s="120">
        <f>SUM(AO$5:AR6)</f>
        <v>19</v>
      </c>
      <c r="AT6" s="595">
        <f t="shared" ref="AT6:AT12" si="3">AS6-AU6</f>
        <v>4</v>
      </c>
      <c r="AU6" s="120">
        <f>SUM(AV$5:AY6)</f>
        <v>15</v>
      </c>
      <c r="AV6" s="123"/>
      <c r="AW6" s="108">
        <v>8</v>
      </c>
      <c r="AX6" s="117"/>
      <c r="AY6" s="117"/>
      <c r="BA6" s="122">
        <v>2</v>
      </c>
      <c r="BB6" s="117"/>
      <c r="BC6" s="108">
        <v>5</v>
      </c>
      <c r="BD6" s="117"/>
      <c r="BE6" s="114"/>
      <c r="BF6" s="120">
        <f>SUM(BB$5:BE6)</f>
        <v>17</v>
      </c>
      <c r="BG6" s="595">
        <f t="shared" ref="BG6:BG17" si="4">BF6-BH6</f>
        <v>6</v>
      </c>
      <c r="BH6" s="120">
        <f>SUM(BI$5:BL6)</f>
        <v>11</v>
      </c>
      <c r="BI6" s="123"/>
      <c r="BJ6" s="108">
        <v>8</v>
      </c>
      <c r="BK6" s="117"/>
      <c r="BL6" s="117"/>
    </row>
    <row r="7" spans="1:64" ht="15.75">
      <c r="A7" s="122">
        <v>3</v>
      </c>
      <c r="B7" s="108"/>
      <c r="C7" s="117"/>
      <c r="D7" s="117">
        <v>8</v>
      </c>
      <c r="E7" s="119"/>
      <c r="F7" s="120">
        <f>SUM(B$5:$E7)</f>
        <v>26</v>
      </c>
      <c r="G7" s="595">
        <f t="shared" si="0"/>
        <v>6</v>
      </c>
      <c r="H7" s="120">
        <f>SUM(I$5:$L7)</f>
        <v>20</v>
      </c>
      <c r="I7" s="121"/>
      <c r="J7" s="117"/>
      <c r="K7" s="117">
        <v>4</v>
      </c>
      <c r="L7" s="107"/>
      <c r="N7" s="122">
        <v>3</v>
      </c>
      <c r="O7" s="108"/>
      <c r="P7" s="117"/>
      <c r="Q7" s="117">
        <v>12</v>
      </c>
      <c r="R7" s="119"/>
      <c r="S7" s="120">
        <f>SUM($O$5:R7)</f>
        <v>22</v>
      </c>
      <c r="T7" s="595">
        <f t="shared" si="1"/>
        <v>2</v>
      </c>
      <c r="U7" s="120">
        <f>SUM($V$5:Y7)</f>
        <v>20</v>
      </c>
      <c r="V7" s="121"/>
      <c r="W7" s="117"/>
      <c r="X7" s="117" t="s">
        <v>2</v>
      </c>
      <c r="Y7" s="107"/>
      <c r="AA7" s="122">
        <v>3</v>
      </c>
      <c r="AB7" s="108"/>
      <c r="AC7" s="117"/>
      <c r="AD7" s="117">
        <v>7</v>
      </c>
      <c r="AE7" s="119"/>
      <c r="AF7" s="120">
        <f>SUM($AB$5:AE7)</f>
        <v>25</v>
      </c>
      <c r="AG7" s="595">
        <f t="shared" si="2"/>
        <v>1</v>
      </c>
      <c r="AH7" s="120">
        <f>SUM($AI$5:AL7)</f>
        <v>24</v>
      </c>
      <c r="AI7" s="121"/>
      <c r="AJ7" s="117"/>
      <c r="AK7" s="117">
        <v>11</v>
      </c>
      <c r="AL7" s="107"/>
      <c r="AN7" s="122">
        <v>3</v>
      </c>
      <c r="AO7" s="108"/>
      <c r="AP7" s="117"/>
      <c r="AQ7" s="117">
        <v>8</v>
      </c>
      <c r="AR7" s="119"/>
      <c r="AS7" s="120">
        <f>SUM(AO$5:AR7)</f>
        <v>27</v>
      </c>
      <c r="AT7" s="595">
        <f t="shared" si="3"/>
        <v>12</v>
      </c>
      <c r="AU7" s="120">
        <f>SUM(AV$5:AY7)</f>
        <v>15</v>
      </c>
      <c r="AV7" s="121"/>
      <c r="AW7" s="117"/>
      <c r="AX7" s="117" t="s">
        <v>2</v>
      </c>
      <c r="AY7" s="107"/>
      <c r="BA7" s="122">
        <v>3</v>
      </c>
      <c r="BB7" s="108"/>
      <c r="BC7" s="117"/>
      <c r="BD7" s="117">
        <v>8</v>
      </c>
      <c r="BE7" s="119"/>
      <c r="BF7" s="120">
        <f>SUM(BB$5:BE7)</f>
        <v>25</v>
      </c>
      <c r="BG7" s="595">
        <f t="shared" si="4"/>
        <v>12</v>
      </c>
      <c r="BH7" s="120">
        <f>SUM(BI$5:BL7)</f>
        <v>13</v>
      </c>
      <c r="BI7" s="121"/>
      <c r="BJ7" s="117"/>
      <c r="BK7" s="117">
        <v>2</v>
      </c>
      <c r="BL7" s="107"/>
    </row>
    <row r="8" spans="1:64" ht="15.75">
      <c r="A8" s="122">
        <v>4</v>
      </c>
      <c r="B8" s="117"/>
      <c r="C8" s="108"/>
      <c r="D8" s="117"/>
      <c r="E8" s="114" t="s">
        <v>2</v>
      </c>
      <c r="F8" s="120">
        <f>SUM(B$5:$E8)</f>
        <v>26</v>
      </c>
      <c r="G8" s="595">
        <f t="shared" si="0"/>
        <v>6</v>
      </c>
      <c r="H8" s="120">
        <f>SUM(I$5:$L8)</f>
        <v>20</v>
      </c>
      <c r="I8" s="123"/>
      <c r="J8" s="108"/>
      <c r="K8" s="117"/>
      <c r="L8" s="117" t="s">
        <v>2</v>
      </c>
      <c r="N8" s="122">
        <v>4</v>
      </c>
      <c r="O8" s="117"/>
      <c r="P8" s="108"/>
      <c r="Q8" s="117"/>
      <c r="R8" s="114">
        <v>9</v>
      </c>
      <c r="S8" s="120">
        <f>SUM($O$5:R8)</f>
        <v>31</v>
      </c>
      <c r="T8" s="595">
        <f t="shared" si="1"/>
        <v>1</v>
      </c>
      <c r="U8" s="120">
        <f>SUM($V$5:Y8)</f>
        <v>30</v>
      </c>
      <c r="V8" s="123"/>
      <c r="W8" s="108"/>
      <c r="X8" s="117"/>
      <c r="Y8" s="117">
        <v>10</v>
      </c>
      <c r="AA8" s="122">
        <v>4</v>
      </c>
      <c r="AB8" s="117"/>
      <c r="AC8" s="108"/>
      <c r="AD8" s="117"/>
      <c r="AE8" s="114">
        <v>7</v>
      </c>
      <c r="AF8" s="120">
        <f>SUM($AB$5:AE8)</f>
        <v>32</v>
      </c>
      <c r="AG8" s="595">
        <f t="shared" si="2"/>
        <v>-3</v>
      </c>
      <c r="AH8" s="120">
        <f>SUM($AI$5:AL8)</f>
        <v>35</v>
      </c>
      <c r="AI8" s="123"/>
      <c r="AJ8" s="108"/>
      <c r="AK8" s="117"/>
      <c r="AL8" s="117">
        <v>11</v>
      </c>
      <c r="AN8" s="122">
        <v>4</v>
      </c>
      <c r="AO8" s="117"/>
      <c r="AP8" s="108"/>
      <c r="AQ8" s="117"/>
      <c r="AR8" s="114">
        <v>7</v>
      </c>
      <c r="AS8" s="120">
        <f>SUM(AO$5:AR8)</f>
        <v>34</v>
      </c>
      <c r="AT8" s="595">
        <f t="shared" si="3"/>
        <v>19</v>
      </c>
      <c r="AU8" s="120">
        <f>SUM(AV$5:AY8)</f>
        <v>15</v>
      </c>
      <c r="AV8" s="123"/>
      <c r="AW8" s="108"/>
      <c r="AX8" s="117"/>
      <c r="AY8" s="117" t="s">
        <v>2</v>
      </c>
      <c r="BA8" s="122">
        <v>4</v>
      </c>
      <c r="BB8" s="117"/>
      <c r="BC8" s="108"/>
      <c r="BD8" s="117"/>
      <c r="BE8" s="114">
        <v>8</v>
      </c>
      <c r="BF8" s="120">
        <f>SUM(BB$5:BE8)</f>
        <v>33</v>
      </c>
      <c r="BG8" s="595">
        <f t="shared" si="4"/>
        <v>12</v>
      </c>
      <c r="BH8" s="120">
        <f>SUM(BI$5:BL8)</f>
        <v>21</v>
      </c>
      <c r="BI8" s="123"/>
      <c r="BJ8" s="108"/>
      <c r="BK8" s="117"/>
      <c r="BL8" s="117">
        <v>8</v>
      </c>
    </row>
    <row r="9" spans="1:64" ht="15.75">
      <c r="A9" s="122">
        <v>5</v>
      </c>
      <c r="B9" s="108">
        <v>6</v>
      </c>
      <c r="C9" s="117"/>
      <c r="D9" s="117"/>
      <c r="E9" s="119"/>
      <c r="F9" s="120">
        <f>SUM(B$5:$E9)</f>
        <v>32</v>
      </c>
      <c r="G9" s="595">
        <f t="shared" si="0"/>
        <v>5</v>
      </c>
      <c r="H9" s="120">
        <f>SUM(I$5:$L9)</f>
        <v>27</v>
      </c>
      <c r="I9" s="121">
        <v>7</v>
      </c>
      <c r="J9" s="117"/>
      <c r="K9" s="117"/>
      <c r="L9" s="107"/>
      <c r="N9" s="122">
        <v>5</v>
      </c>
      <c r="O9" s="108">
        <v>3</v>
      </c>
      <c r="P9" s="117"/>
      <c r="Q9" s="117"/>
      <c r="R9" s="119"/>
      <c r="S9" s="120">
        <f>SUM($O$5:R9)</f>
        <v>34</v>
      </c>
      <c r="T9" s="595">
        <f t="shared" si="1"/>
        <v>-4</v>
      </c>
      <c r="U9" s="120">
        <f>SUM($V$5:Y9)</f>
        <v>38</v>
      </c>
      <c r="V9" s="121">
        <v>8</v>
      </c>
      <c r="W9" s="117"/>
      <c r="X9" s="117"/>
      <c r="Y9" s="107"/>
      <c r="AA9" s="122">
        <v>5</v>
      </c>
      <c r="AB9" s="108">
        <v>11</v>
      </c>
      <c r="AC9" s="117"/>
      <c r="AD9" s="117"/>
      <c r="AE9" s="119"/>
      <c r="AF9" s="120">
        <f>SUM($AB$5:AE9)</f>
        <v>43</v>
      </c>
      <c r="AG9" s="595">
        <f t="shared" si="2"/>
        <v>6</v>
      </c>
      <c r="AH9" s="120">
        <f>SUM($AI$5:AL9)</f>
        <v>37</v>
      </c>
      <c r="AI9" s="121">
        <v>2</v>
      </c>
      <c r="AJ9" s="117"/>
      <c r="AK9" s="117"/>
      <c r="AL9" s="107"/>
      <c r="AN9" s="122">
        <v>5</v>
      </c>
      <c r="AO9" s="108">
        <v>2</v>
      </c>
      <c r="AP9" s="117"/>
      <c r="AQ9" s="117"/>
      <c r="AR9" s="119"/>
      <c r="AS9" s="120">
        <f>SUM(AO$5:AR9)</f>
        <v>36</v>
      </c>
      <c r="AT9" s="595">
        <f t="shared" si="3"/>
        <v>9</v>
      </c>
      <c r="AU9" s="120">
        <f>SUM(AV$5:AY9)</f>
        <v>27</v>
      </c>
      <c r="AV9" s="651">
        <v>12</v>
      </c>
      <c r="AW9" s="117"/>
      <c r="AX9" s="117"/>
      <c r="AY9" s="107"/>
      <c r="BA9" s="122">
        <v>5</v>
      </c>
      <c r="BB9" s="108">
        <v>8</v>
      </c>
      <c r="BC9" s="117"/>
      <c r="BD9" s="117"/>
      <c r="BE9" s="119"/>
      <c r="BF9" s="120">
        <f>SUM(BB$5:BE9)</f>
        <v>41</v>
      </c>
      <c r="BG9" s="595">
        <f t="shared" si="4"/>
        <v>12</v>
      </c>
      <c r="BH9" s="120">
        <f>SUM(BI$5:BL9)</f>
        <v>29</v>
      </c>
      <c r="BI9" s="121">
        <v>8</v>
      </c>
      <c r="BJ9" s="117"/>
      <c r="BK9" s="117"/>
      <c r="BL9" s="107"/>
    </row>
    <row r="10" spans="1:64" ht="15.75">
      <c r="A10" s="122">
        <v>6</v>
      </c>
      <c r="B10" s="117"/>
      <c r="C10" s="108">
        <v>6</v>
      </c>
      <c r="D10" s="117"/>
      <c r="E10" s="114"/>
      <c r="F10" s="120">
        <f>SUM(B$5:$E10)</f>
        <v>38</v>
      </c>
      <c r="G10" s="595">
        <f t="shared" si="0"/>
        <v>11</v>
      </c>
      <c r="H10" s="120">
        <f>SUM(I$5:$L10)</f>
        <v>27</v>
      </c>
      <c r="I10" s="123"/>
      <c r="J10" s="108" t="s">
        <v>2</v>
      </c>
      <c r="K10" s="117"/>
      <c r="L10" s="117"/>
      <c r="N10" s="122">
        <v>6</v>
      </c>
      <c r="O10" s="117"/>
      <c r="P10" s="108">
        <v>12</v>
      </c>
      <c r="Q10" s="117"/>
      <c r="R10" s="114"/>
      <c r="S10" s="120">
        <f>SUM($O$5:R10)</f>
        <v>46</v>
      </c>
      <c r="T10" s="595">
        <f t="shared" si="1"/>
        <v>8</v>
      </c>
      <c r="U10" s="120">
        <f>SUM($V$5:Y10)</f>
        <v>38</v>
      </c>
      <c r="V10" s="123"/>
      <c r="W10" s="108" t="s">
        <v>2</v>
      </c>
      <c r="X10" s="117"/>
      <c r="Y10" s="117"/>
      <c r="AA10" s="122">
        <v>6</v>
      </c>
      <c r="AB10" s="117"/>
      <c r="AC10" s="143">
        <v>-18</v>
      </c>
      <c r="AD10" s="117"/>
      <c r="AE10" s="114"/>
      <c r="AF10" s="120">
        <f>SUM($AB$5:AE10)</f>
        <v>25</v>
      </c>
      <c r="AG10" s="595">
        <f t="shared" si="2"/>
        <v>-14</v>
      </c>
      <c r="AH10" s="120">
        <f>SUM($AI$5:AL10)</f>
        <v>39</v>
      </c>
      <c r="AI10" s="123"/>
      <c r="AJ10" s="108">
        <v>2</v>
      </c>
      <c r="AK10" s="117"/>
      <c r="AL10" s="117"/>
      <c r="AN10" s="122">
        <v>6</v>
      </c>
      <c r="AO10" s="117"/>
      <c r="AP10" s="108" t="s">
        <v>2</v>
      </c>
      <c r="AQ10" s="117"/>
      <c r="AR10" s="114"/>
      <c r="AS10" s="120">
        <f>SUM(AO$5:AR10)</f>
        <v>36</v>
      </c>
      <c r="AT10" s="595">
        <f t="shared" si="3"/>
        <v>-3</v>
      </c>
      <c r="AU10" s="120">
        <f>SUM(AV$5:AY10)</f>
        <v>39</v>
      </c>
      <c r="AV10" s="123"/>
      <c r="AW10" s="108">
        <v>12</v>
      </c>
      <c r="AX10" s="117"/>
      <c r="AY10" s="117"/>
      <c r="BA10" s="122">
        <v>6</v>
      </c>
      <c r="BB10" s="117"/>
      <c r="BC10" s="108" t="s">
        <v>2</v>
      </c>
      <c r="BD10" s="117"/>
      <c r="BE10" s="114"/>
      <c r="BF10" s="120">
        <f>SUM(BB$5:BE10)</f>
        <v>41</v>
      </c>
      <c r="BG10" s="595">
        <f t="shared" si="4"/>
        <v>5</v>
      </c>
      <c r="BH10" s="120">
        <f>SUM(BI$5:BL10)</f>
        <v>36</v>
      </c>
      <c r="BI10" s="123"/>
      <c r="BJ10" s="108">
        <v>7</v>
      </c>
      <c r="BK10" s="117"/>
      <c r="BL10" s="117"/>
    </row>
    <row r="11" spans="1:64" ht="15.75">
      <c r="A11" s="122">
        <v>7</v>
      </c>
      <c r="B11" s="108"/>
      <c r="C11" s="117"/>
      <c r="D11" s="117">
        <v>6</v>
      </c>
      <c r="E11" s="119"/>
      <c r="F11" s="120">
        <f>SUM(B$5:$E11)</f>
        <v>44</v>
      </c>
      <c r="G11" s="595">
        <f t="shared" si="0"/>
        <v>17</v>
      </c>
      <c r="H11" s="120">
        <f>SUM(I$5:$L11)</f>
        <v>27</v>
      </c>
      <c r="I11" s="121"/>
      <c r="J11" s="117"/>
      <c r="K11" s="117" t="s">
        <v>2</v>
      </c>
      <c r="L11" s="107"/>
      <c r="N11" s="122">
        <v>7</v>
      </c>
      <c r="O11" s="108"/>
      <c r="P11" s="117"/>
      <c r="Q11" s="117">
        <v>2</v>
      </c>
      <c r="R11" s="119"/>
      <c r="S11" s="120">
        <f>SUM($O$5:R11)</f>
        <v>48</v>
      </c>
      <c r="T11" s="595">
        <f t="shared" si="1"/>
        <v>10</v>
      </c>
      <c r="U11" s="120">
        <f>SUM($V$5:Y11)</f>
        <v>38</v>
      </c>
      <c r="V11" s="121"/>
      <c r="W11" s="117"/>
      <c r="X11" s="117" t="s">
        <v>2</v>
      </c>
      <c r="Y11" s="107"/>
      <c r="AA11" s="122">
        <v>7</v>
      </c>
      <c r="AB11" s="108"/>
      <c r="AC11" s="117"/>
      <c r="AD11" s="117">
        <v>11</v>
      </c>
      <c r="AE11" s="119"/>
      <c r="AF11" s="120">
        <f>SUM($AB$5:AE11)</f>
        <v>36</v>
      </c>
      <c r="AG11" s="595">
        <f t="shared" si="2"/>
        <v>-3</v>
      </c>
      <c r="AH11" s="120">
        <f>SUM($AI$5:AL11)</f>
        <v>39</v>
      </c>
      <c r="AI11" s="121"/>
      <c r="AJ11" s="117"/>
      <c r="AK11" s="117" t="s">
        <v>2</v>
      </c>
      <c r="AL11" s="107"/>
      <c r="AN11" s="122">
        <v>7</v>
      </c>
      <c r="AO11" s="108"/>
      <c r="AP11" s="117"/>
      <c r="AQ11" s="117">
        <v>4</v>
      </c>
      <c r="AR11" s="119"/>
      <c r="AS11" s="120">
        <f>SUM(AO$5:AR11)</f>
        <v>40</v>
      </c>
      <c r="AT11" s="595">
        <f t="shared" si="3"/>
        <v>-7</v>
      </c>
      <c r="AU11" s="120">
        <f>SUM(AV$5:AY11)</f>
        <v>47</v>
      </c>
      <c r="AV11" s="121"/>
      <c r="AW11" s="117"/>
      <c r="AX11" s="117">
        <v>8</v>
      </c>
      <c r="AY11" s="107"/>
      <c r="BA11" s="122">
        <v>7</v>
      </c>
      <c r="BB11" s="108"/>
      <c r="BC11" s="117"/>
      <c r="BD11" s="117">
        <v>3</v>
      </c>
      <c r="BE11" s="119"/>
      <c r="BF11" s="120">
        <f>SUM(BB$5:BE11)</f>
        <v>44</v>
      </c>
      <c r="BG11" s="595">
        <f t="shared" si="4"/>
        <v>8</v>
      </c>
      <c r="BH11" s="120">
        <f>SUM(BI$5:BL11)</f>
        <v>36</v>
      </c>
      <c r="BI11" s="121"/>
      <c r="BJ11" s="117"/>
      <c r="BK11" s="117" t="s">
        <v>2</v>
      </c>
      <c r="BL11" s="107"/>
    </row>
    <row r="12" spans="1:64" ht="15.75">
      <c r="A12" s="122">
        <v>8</v>
      </c>
      <c r="B12" s="117"/>
      <c r="C12" s="108"/>
      <c r="D12" s="117"/>
      <c r="E12" s="114" t="s">
        <v>2</v>
      </c>
      <c r="F12" s="120">
        <f>SUM(B$5:$E12)</f>
        <v>44</v>
      </c>
      <c r="G12" s="595">
        <f t="shared" si="0"/>
        <v>15</v>
      </c>
      <c r="H12" s="120">
        <f>SUM(I$5:$L12)</f>
        <v>29</v>
      </c>
      <c r="I12" s="123"/>
      <c r="J12" s="108"/>
      <c r="K12" s="117"/>
      <c r="L12" s="652">
        <v>2</v>
      </c>
      <c r="N12" s="122">
        <v>8</v>
      </c>
      <c r="O12" s="117"/>
      <c r="P12" s="108"/>
      <c r="Q12" s="117"/>
      <c r="R12" s="919">
        <v>2</v>
      </c>
      <c r="S12" s="120">
        <f>SUM($O$5:R12)</f>
        <v>50</v>
      </c>
      <c r="T12" s="595">
        <f t="shared" si="1"/>
        <v>12</v>
      </c>
      <c r="U12" s="120">
        <f>SUM($V$5:Y12)</f>
        <v>38</v>
      </c>
      <c r="V12" s="123"/>
      <c r="W12" s="108"/>
      <c r="X12" s="117"/>
      <c r="Y12" s="117"/>
      <c r="AA12" s="122">
        <v>8</v>
      </c>
      <c r="AB12" s="108"/>
      <c r="AC12" s="117"/>
      <c r="AD12" s="117"/>
      <c r="AE12" s="119" t="s">
        <v>2</v>
      </c>
      <c r="AF12" s="120">
        <f>SUM($AB$5:AE12)</f>
        <v>36</v>
      </c>
      <c r="AG12" s="595">
        <f>AF12-AH12</f>
        <v>-14</v>
      </c>
      <c r="AH12" s="120">
        <f>SUM($AI$5:AL12)</f>
        <v>50</v>
      </c>
      <c r="AI12" s="121"/>
      <c r="AJ12" s="117"/>
      <c r="AK12" s="117"/>
      <c r="AL12" s="565">
        <v>11</v>
      </c>
      <c r="AN12" s="122">
        <v>8</v>
      </c>
      <c r="AO12" s="117"/>
      <c r="AP12" s="108"/>
      <c r="AQ12" s="117"/>
      <c r="AR12" s="114" t="s">
        <v>2</v>
      </c>
      <c r="AS12" s="120">
        <f>SUM(AO$5:AR12)</f>
        <v>40</v>
      </c>
      <c r="AT12" s="595">
        <f t="shared" si="3"/>
        <v>-10</v>
      </c>
      <c r="AU12" s="120">
        <f>SUM(AV$5:AY12)</f>
        <v>50</v>
      </c>
      <c r="AV12" s="121"/>
      <c r="AW12" s="117"/>
      <c r="AX12" s="117"/>
      <c r="AY12" s="565">
        <v>3</v>
      </c>
      <c r="BA12" s="122">
        <v>8</v>
      </c>
      <c r="BB12" s="117"/>
      <c r="BC12" s="108"/>
      <c r="BD12" s="117"/>
      <c r="BE12" s="114" t="s">
        <v>2</v>
      </c>
      <c r="BF12" s="120">
        <f>SUM(BB$5:BE12)</f>
        <v>44</v>
      </c>
      <c r="BG12" s="595">
        <f t="shared" si="4"/>
        <v>2</v>
      </c>
      <c r="BH12" s="120">
        <f>SUM(BI$5:BL12)</f>
        <v>42</v>
      </c>
      <c r="BI12" s="121"/>
      <c r="BJ12" s="117"/>
      <c r="BK12" s="117"/>
      <c r="BL12" s="107">
        <v>6</v>
      </c>
    </row>
    <row r="13" spans="1:64" ht="15.75">
      <c r="A13" s="118">
        <v>9</v>
      </c>
      <c r="B13" s="108" t="s">
        <v>2</v>
      </c>
      <c r="C13" s="117"/>
      <c r="D13" s="117"/>
      <c r="E13" s="119"/>
      <c r="F13" s="120">
        <f>SUM(B$5:$E13)</f>
        <v>44</v>
      </c>
      <c r="G13" s="595">
        <f>F13-H13</f>
        <v>15</v>
      </c>
      <c r="H13" s="120">
        <f>SUM(I$5:$L13)</f>
        <v>29</v>
      </c>
      <c r="I13" s="121" t="s">
        <v>2</v>
      </c>
      <c r="J13" s="117"/>
      <c r="K13" s="117"/>
      <c r="L13" s="107"/>
      <c r="P13" s="583"/>
      <c r="V13" s="582"/>
      <c r="W13" s="583"/>
      <c r="X13" s="582"/>
      <c r="Y13" s="583"/>
      <c r="AA13" s="433"/>
      <c r="AB13" s="434"/>
      <c r="AC13" s="113"/>
      <c r="AD13" s="434"/>
      <c r="AE13" s="434"/>
      <c r="AF13" s="583"/>
      <c r="AI13" s="582"/>
      <c r="AJ13" s="583"/>
      <c r="AK13" s="582"/>
      <c r="AL13" s="583"/>
      <c r="AP13" s="583"/>
      <c r="AS13" s="583"/>
      <c r="AV13" s="113"/>
      <c r="AW13" s="434"/>
      <c r="AX13" s="434"/>
      <c r="AY13" s="628"/>
      <c r="BA13" s="122">
        <v>9</v>
      </c>
      <c r="BB13" s="117" t="s">
        <v>2</v>
      </c>
      <c r="BC13" s="108"/>
      <c r="BD13" s="117"/>
      <c r="BE13" s="114"/>
      <c r="BF13" s="120">
        <f>SUM(BB$5:BE13)</f>
        <v>44</v>
      </c>
      <c r="BG13" s="595">
        <f t="shared" si="4"/>
        <v>2</v>
      </c>
      <c r="BH13" s="120">
        <f>SUM(BI$5:BL13)</f>
        <v>42</v>
      </c>
      <c r="BI13" s="121" t="s">
        <v>2</v>
      </c>
      <c r="BJ13" s="117"/>
      <c r="BK13" s="117"/>
      <c r="BL13" s="107"/>
    </row>
    <row r="14" spans="1:64" ht="15.75">
      <c r="A14" s="122">
        <v>10</v>
      </c>
      <c r="B14" s="117"/>
      <c r="C14" s="652">
        <v>4</v>
      </c>
      <c r="D14" s="117"/>
      <c r="E14" s="114"/>
      <c r="F14" s="120">
        <f>SUM(B$5:$E14)</f>
        <v>48</v>
      </c>
      <c r="G14" s="595">
        <f>F14-H14</f>
        <v>16</v>
      </c>
      <c r="H14" s="120">
        <f>SUM(I$5:$L14)</f>
        <v>32</v>
      </c>
      <c r="I14" s="123"/>
      <c r="J14" s="108">
        <v>3</v>
      </c>
      <c r="K14" s="117"/>
      <c r="L14" s="117"/>
      <c r="P14" s="583"/>
      <c r="V14" s="582"/>
      <c r="W14" s="583"/>
      <c r="X14" s="582"/>
      <c r="Y14" s="583"/>
      <c r="AA14" s="433"/>
      <c r="AB14" s="434"/>
      <c r="AC14" s="113"/>
      <c r="AD14" s="434"/>
      <c r="AE14" s="434"/>
      <c r="AF14" s="583"/>
      <c r="AI14" s="582"/>
      <c r="AJ14" s="583"/>
      <c r="AK14" s="582"/>
      <c r="AL14" s="583"/>
      <c r="AP14" s="583"/>
      <c r="AS14" s="583"/>
      <c r="AV14" s="113"/>
      <c r="AW14" s="434"/>
      <c r="AX14" s="434"/>
      <c r="AY14" s="628"/>
      <c r="BA14" s="122">
        <v>10</v>
      </c>
      <c r="BB14" s="117"/>
      <c r="BC14" s="652">
        <v>4</v>
      </c>
      <c r="BD14" s="117"/>
      <c r="BE14" s="114"/>
      <c r="BF14" s="120">
        <f>SUM(BB$5:BE14)</f>
        <v>48</v>
      </c>
      <c r="BG14" s="595">
        <f t="shared" si="4"/>
        <v>3</v>
      </c>
      <c r="BH14" s="120">
        <f>SUM(BI$5:BL14)</f>
        <v>45</v>
      </c>
      <c r="BI14" s="121"/>
      <c r="BJ14" s="117">
        <v>3</v>
      </c>
      <c r="BK14" s="117"/>
      <c r="BL14" s="107"/>
    </row>
    <row r="15" spans="1:64" ht="15.75">
      <c r="A15" s="122">
        <v>11</v>
      </c>
      <c r="B15" s="108"/>
      <c r="C15" s="117"/>
      <c r="D15" s="565">
        <v>2</v>
      </c>
      <c r="E15" s="119"/>
      <c r="F15" s="120">
        <f>SUM(B$5:$E15)</f>
        <v>50</v>
      </c>
      <c r="G15" s="595">
        <f>F15-H15</f>
        <v>18</v>
      </c>
      <c r="H15" s="120">
        <f>SUM(I$5:$L15)</f>
        <v>32</v>
      </c>
      <c r="I15" s="121"/>
      <c r="J15" s="117"/>
      <c r="K15" s="117"/>
      <c r="L15" s="107"/>
      <c r="P15" s="583"/>
      <c r="V15" s="582"/>
      <c r="W15" s="583"/>
      <c r="X15" s="582"/>
      <c r="Y15" s="583"/>
      <c r="AA15" s="433"/>
      <c r="AB15" s="434"/>
      <c r="AC15" s="113"/>
      <c r="AD15" s="434"/>
      <c r="AE15" s="434"/>
      <c r="AF15" s="583"/>
      <c r="AI15" s="582"/>
      <c r="AJ15" s="583"/>
      <c r="AK15" s="582"/>
      <c r="AL15" s="583"/>
      <c r="AP15" s="583"/>
      <c r="AS15" s="583"/>
      <c r="AV15" s="113"/>
      <c r="AW15" s="434"/>
      <c r="AX15" s="434"/>
      <c r="AY15" s="628"/>
      <c r="BA15" s="122">
        <v>11</v>
      </c>
      <c r="BB15" s="117"/>
      <c r="BC15" s="108"/>
      <c r="BD15" s="142">
        <v>-23</v>
      </c>
      <c r="BE15" s="114"/>
      <c r="BF15" s="120">
        <f>SUM(BB$5:BE15)</f>
        <v>25</v>
      </c>
      <c r="BG15" s="595">
        <f t="shared" si="4"/>
        <v>-20</v>
      </c>
      <c r="BH15" s="120">
        <f>SUM(BI$5:BL15)</f>
        <v>45</v>
      </c>
      <c r="BI15" s="121"/>
      <c r="BJ15" s="117"/>
      <c r="BK15" s="117" t="s">
        <v>2</v>
      </c>
      <c r="BL15" s="107"/>
    </row>
    <row r="16" spans="1:64" ht="15.75">
      <c r="A16" s="433"/>
      <c r="B16" s="113"/>
      <c r="C16" s="434"/>
      <c r="D16" s="434"/>
      <c r="F16" s="583"/>
      <c r="I16" s="113"/>
      <c r="J16" s="434"/>
      <c r="K16" s="434"/>
      <c r="L16" s="628"/>
      <c r="P16" s="583"/>
      <c r="V16" s="582"/>
      <c r="W16" s="583"/>
      <c r="X16" s="582"/>
      <c r="Y16" s="583"/>
      <c r="AA16" s="433"/>
      <c r="AB16" s="434"/>
      <c r="AC16" s="113"/>
      <c r="AD16" s="434"/>
      <c r="AE16" s="434"/>
      <c r="AF16" s="583"/>
      <c r="AI16" s="582"/>
      <c r="AJ16" s="583"/>
      <c r="AK16" s="582"/>
      <c r="AL16" s="583"/>
      <c r="AP16" s="583"/>
      <c r="AS16" s="583"/>
      <c r="AV16" s="113"/>
      <c r="AW16" s="434"/>
      <c r="AX16" s="434"/>
      <c r="AY16" s="628"/>
      <c r="BA16" s="122">
        <v>11</v>
      </c>
      <c r="BB16" s="117"/>
      <c r="BC16" s="108"/>
      <c r="BD16" s="117"/>
      <c r="BE16" s="114">
        <v>4</v>
      </c>
      <c r="BF16" s="120">
        <f>SUM(BB$5:BE16)</f>
        <v>29</v>
      </c>
      <c r="BG16" s="595">
        <f t="shared" si="4"/>
        <v>-17</v>
      </c>
      <c r="BH16" s="120">
        <f>SUM(BI$5:BL16)</f>
        <v>46</v>
      </c>
      <c r="BI16" s="121"/>
      <c r="BJ16" s="117"/>
      <c r="BK16" s="117"/>
      <c r="BL16" s="920">
        <v>1</v>
      </c>
    </row>
    <row r="17" spans="1:65" ht="15.75">
      <c r="A17" s="433"/>
      <c r="B17" s="113"/>
      <c r="C17" s="434"/>
      <c r="D17" s="434"/>
      <c r="F17" s="583"/>
      <c r="I17" s="113"/>
      <c r="J17" s="434"/>
      <c r="K17" s="434"/>
      <c r="L17" s="628"/>
      <c r="P17" s="583"/>
      <c r="V17" s="582"/>
      <c r="W17" s="583"/>
      <c r="X17" s="582"/>
      <c r="Y17" s="583"/>
      <c r="AA17" s="433"/>
      <c r="AB17" s="434"/>
      <c r="AC17" s="113"/>
      <c r="AD17" s="434"/>
      <c r="AE17" s="434"/>
      <c r="AF17" s="583"/>
      <c r="AI17" s="582"/>
      <c r="AJ17" s="583"/>
      <c r="AK17" s="582"/>
      <c r="AL17" s="583"/>
      <c r="AP17" s="583"/>
      <c r="AS17" s="583"/>
      <c r="AV17" s="113"/>
      <c r="AW17" s="434"/>
      <c r="AX17" s="434"/>
      <c r="AY17" s="628"/>
      <c r="BA17" s="122">
        <v>11</v>
      </c>
      <c r="BB17" s="117">
        <v>4</v>
      </c>
      <c r="BC17" s="108"/>
      <c r="BD17" s="117"/>
      <c r="BE17" s="114"/>
      <c r="BF17" s="120">
        <f>SUM(BB$5:BE17)</f>
        <v>33</v>
      </c>
      <c r="BG17" s="595">
        <f t="shared" si="4"/>
        <v>-17</v>
      </c>
      <c r="BH17" s="120">
        <f>SUM(BI$5:BL17)</f>
        <v>50</v>
      </c>
      <c r="BI17" s="1430">
        <v>4</v>
      </c>
      <c r="BJ17" s="117"/>
      <c r="BK17" s="117"/>
      <c r="BL17" s="107"/>
    </row>
    <row r="18" spans="1:65">
      <c r="C18" s="583"/>
      <c r="F18" s="583"/>
      <c r="I18" s="582"/>
      <c r="J18" s="583"/>
      <c r="K18" s="582"/>
      <c r="L18" s="583"/>
      <c r="P18" s="583"/>
      <c r="V18" s="582"/>
      <c r="W18" s="583"/>
      <c r="X18" s="582"/>
      <c r="Y18" s="583"/>
      <c r="AC18" s="583"/>
      <c r="AF18" s="583"/>
      <c r="AI18" s="582"/>
      <c r="AJ18" s="583"/>
      <c r="AK18" s="582"/>
      <c r="AL18" s="583"/>
      <c r="AP18" s="583"/>
      <c r="AS18" s="583"/>
      <c r="AV18" s="582"/>
      <c r="AW18" s="583"/>
      <c r="AX18" s="582"/>
      <c r="AY18" s="583"/>
      <c r="BC18" s="583"/>
      <c r="BF18" s="583"/>
      <c r="BI18" s="582"/>
      <c r="BJ18" s="583"/>
      <c r="BK18" s="582"/>
      <c r="BL18" s="583"/>
    </row>
    <row r="19" spans="1:65" ht="15.75">
      <c r="A19" s="126" t="s">
        <v>3</v>
      </c>
      <c r="B19" s="108">
        <f>SUM(B5:B18)</f>
        <v>18</v>
      </c>
      <c r="C19" s="108">
        <f>SUM(C5:C18)</f>
        <v>16</v>
      </c>
      <c r="D19" s="108">
        <f>SUM(D5:D18)</f>
        <v>16</v>
      </c>
      <c r="E19" s="108">
        <f>SUM(E5:E18)</f>
        <v>0</v>
      </c>
      <c r="F19" s="127">
        <f>MAX(F5:F15)</f>
        <v>50</v>
      </c>
      <c r="H19" s="127">
        <f>MAX(H5:H15)</f>
        <v>32</v>
      </c>
      <c r="I19" s="108">
        <f>SUM(I5:I18)</f>
        <v>15</v>
      </c>
      <c r="J19" s="108">
        <f>SUM(J5:J18)</f>
        <v>11</v>
      </c>
      <c r="K19" s="584">
        <f>SUM(K5:K18)</f>
        <v>4</v>
      </c>
      <c r="L19" s="108">
        <f>SUM(L5:L18)</f>
        <v>2</v>
      </c>
      <c r="N19" s="126" t="s">
        <v>3</v>
      </c>
      <c r="O19" s="108">
        <f>SUM(O5:O18)</f>
        <v>13</v>
      </c>
      <c r="P19" s="108">
        <f>SUM(P5:P18)</f>
        <v>12</v>
      </c>
      <c r="Q19" s="584">
        <f>SUM(Q5:Q18)</f>
        <v>14</v>
      </c>
      <c r="R19" s="108">
        <f>SUM(R5:R18)</f>
        <v>11</v>
      </c>
      <c r="S19" s="127">
        <f>MAX(S5:S15)</f>
        <v>50</v>
      </c>
      <c r="U19" s="127">
        <f>MAX(U5:U15)</f>
        <v>38</v>
      </c>
      <c r="V19" s="108">
        <f>SUM(V5:V18)</f>
        <v>17</v>
      </c>
      <c r="W19" s="108">
        <f>SUM(W5:W18)</f>
        <v>11</v>
      </c>
      <c r="X19" s="108">
        <f>SUM(X5:X18)</f>
        <v>0</v>
      </c>
      <c r="Y19" s="108">
        <f>SUM(Y5:Y18)</f>
        <v>10</v>
      </c>
      <c r="AA19" s="126" t="s">
        <v>3</v>
      </c>
      <c r="AB19" s="108">
        <f>SUM(AB5:AB18)</f>
        <v>23</v>
      </c>
      <c r="AC19" s="143">
        <f>SUM(AC5:AC18)</f>
        <v>-12</v>
      </c>
      <c r="AD19" s="108">
        <f>SUM(AD5:AD18)</f>
        <v>18</v>
      </c>
      <c r="AE19" s="108">
        <f>SUM(AE5:AE18)</f>
        <v>7</v>
      </c>
      <c r="AF19" s="918">
        <v>36</v>
      </c>
      <c r="AH19" s="127">
        <f>MAX(AH5:AH15)</f>
        <v>50</v>
      </c>
      <c r="AI19" s="108">
        <f>SUM(AI5:AI18)</f>
        <v>10</v>
      </c>
      <c r="AJ19" s="108">
        <f>SUM(AJ5:AJ18)</f>
        <v>7</v>
      </c>
      <c r="AK19" s="584">
        <f>SUM(AK5:AK18)</f>
        <v>11</v>
      </c>
      <c r="AL19" s="108">
        <f>SUM(AL5:AL18)</f>
        <v>22</v>
      </c>
      <c r="AN19" s="126" t="s">
        <v>3</v>
      </c>
      <c r="AO19" s="108">
        <f>SUM(AO5:AO18)</f>
        <v>12</v>
      </c>
      <c r="AP19" s="108">
        <f>SUM(AP5:AP18)</f>
        <v>9</v>
      </c>
      <c r="AQ19" s="108">
        <f>SUM(AQ5:AQ18)</f>
        <v>12</v>
      </c>
      <c r="AR19" s="108">
        <f>SUM(AR5:AR18)</f>
        <v>7</v>
      </c>
      <c r="AS19" s="127">
        <f>MAX(AS5:AS15)</f>
        <v>40</v>
      </c>
      <c r="AU19" s="127">
        <f>MAX(AU5:AU15)</f>
        <v>50</v>
      </c>
      <c r="AV19" s="108">
        <f>SUM(AV5:AV18)</f>
        <v>19</v>
      </c>
      <c r="AW19" s="108">
        <f>SUM(AW5:AW18)</f>
        <v>20</v>
      </c>
      <c r="AX19" s="584">
        <f>SUM(AX5:AX18)</f>
        <v>8</v>
      </c>
      <c r="AY19" s="108">
        <f>SUM(AY5:AY18)</f>
        <v>3</v>
      </c>
      <c r="BA19" s="126" t="s">
        <v>3</v>
      </c>
      <c r="BB19" s="108">
        <f>SUM(BB5:BB18)</f>
        <v>24</v>
      </c>
      <c r="BC19" s="108">
        <f>SUM(BC5:BC18)</f>
        <v>9</v>
      </c>
      <c r="BD19" s="143">
        <f>SUM(BD5:BD18)</f>
        <v>-12</v>
      </c>
      <c r="BE19" s="108">
        <f>SUM(BE5:BE18)</f>
        <v>12</v>
      </c>
      <c r="BF19" s="918">
        <v>33</v>
      </c>
      <c r="BH19" s="127">
        <f>MAX(BH5:BH17)</f>
        <v>50</v>
      </c>
      <c r="BI19" s="108">
        <f>SUM(BI5:BI18)</f>
        <v>15</v>
      </c>
      <c r="BJ19" s="108">
        <f>SUM(BJ5:BJ18)</f>
        <v>18</v>
      </c>
      <c r="BK19" s="584">
        <f>SUM(BK5:BK18)</f>
        <v>2</v>
      </c>
      <c r="BL19" s="108">
        <f>SUM(BL5:BL18)</f>
        <v>15</v>
      </c>
    </row>
    <row r="20" spans="1:65" ht="15.75">
      <c r="A20" s="128" t="s">
        <v>4</v>
      </c>
      <c r="B20" s="117">
        <f>COUNTA(B5:B18)</f>
        <v>3</v>
      </c>
      <c r="C20" s="117">
        <f>COUNTA(C5:C18)</f>
        <v>3</v>
      </c>
      <c r="D20" s="117">
        <f>COUNTA(D5:D18)</f>
        <v>3</v>
      </c>
      <c r="E20" s="117">
        <f>COUNTA(E5:E18)</f>
        <v>2</v>
      </c>
      <c r="F20" s="127">
        <f>SUM(B20:E20)</f>
        <v>11</v>
      </c>
      <c r="H20" s="127">
        <f>SUM(I20:L20)</f>
        <v>10</v>
      </c>
      <c r="I20" s="117">
        <f>COUNTA(I5:I18)</f>
        <v>3</v>
      </c>
      <c r="J20" s="117">
        <f>COUNTA(J5:J18)</f>
        <v>3</v>
      </c>
      <c r="K20" s="117">
        <f>COUNTA(K5:K18)</f>
        <v>2</v>
      </c>
      <c r="L20" s="117">
        <f>COUNTA(L5:L18)</f>
        <v>2</v>
      </c>
      <c r="N20" s="128" t="s">
        <v>4</v>
      </c>
      <c r="O20" s="117">
        <f>COUNTA(O5:O18)</f>
        <v>2</v>
      </c>
      <c r="P20" s="117">
        <f>COUNTA(P5:P18)</f>
        <v>2</v>
      </c>
      <c r="Q20" s="117">
        <f>COUNTA(Q5:Q18)</f>
        <v>2</v>
      </c>
      <c r="R20" s="117">
        <f>COUNTA(R5:R18)</f>
        <v>2</v>
      </c>
      <c r="S20" s="127">
        <f>SUM(O20:R20)</f>
        <v>8</v>
      </c>
      <c r="U20" s="127">
        <f>SUM(V20:Y20)</f>
        <v>7</v>
      </c>
      <c r="V20" s="117">
        <f>COUNTA(V5:V18)</f>
        <v>2</v>
      </c>
      <c r="W20" s="117">
        <f>COUNTA(W5:W18)</f>
        <v>2</v>
      </c>
      <c r="X20" s="117">
        <f>COUNTA(X5:X18)</f>
        <v>2</v>
      </c>
      <c r="Y20" s="117">
        <f>COUNTA(Y5:Y18)</f>
        <v>1</v>
      </c>
      <c r="AA20" s="128" t="s">
        <v>4</v>
      </c>
      <c r="AB20" s="117">
        <f>COUNTA(AB5:AB18)</f>
        <v>2</v>
      </c>
      <c r="AC20" s="117">
        <f>COUNTA(AC5:AC18)</f>
        <v>2</v>
      </c>
      <c r="AD20" s="117">
        <f>COUNTA(AD5:AD18)</f>
        <v>2</v>
      </c>
      <c r="AE20" s="117">
        <f>COUNTA(AE5:AE18)</f>
        <v>2</v>
      </c>
      <c r="AF20" s="127">
        <f>SUM(AB20:AE20)</f>
        <v>8</v>
      </c>
      <c r="AH20" s="127">
        <f>SUM(AI20:AL20)</f>
        <v>8</v>
      </c>
      <c r="AI20" s="117">
        <f>COUNTA(AI5:AI18)</f>
        <v>2</v>
      </c>
      <c r="AJ20" s="117">
        <f>COUNTA(AJ5:AJ18)</f>
        <v>2</v>
      </c>
      <c r="AK20" s="117">
        <f>COUNTA(AK5:AK18)</f>
        <v>2</v>
      </c>
      <c r="AL20" s="117">
        <f>COUNTA(AL5:AL18)</f>
        <v>2</v>
      </c>
      <c r="AN20" s="128" t="s">
        <v>4</v>
      </c>
      <c r="AO20" s="117">
        <f>COUNTA(AO5:AO18)</f>
        <v>2</v>
      </c>
      <c r="AP20" s="117">
        <f>COUNTA(AP5:AP18)</f>
        <v>2</v>
      </c>
      <c r="AQ20" s="117">
        <f>COUNTA(AQ5:AQ18)</f>
        <v>2</v>
      </c>
      <c r="AR20" s="117">
        <f>COUNTA(AR5:AR18)</f>
        <v>2</v>
      </c>
      <c r="AS20" s="127">
        <f>SUM(AO20:AR20)</f>
        <v>8</v>
      </c>
      <c r="AU20" s="127">
        <f>SUM(AV20:AY20)</f>
        <v>8</v>
      </c>
      <c r="AV20" s="117">
        <f>COUNTA(AV5:AV18)</f>
        <v>2</v>
      </c>
      <c r="AW20" s="117">
        <f>COUNTA(AW5:AW18)</f>
        <v>2</v>
      </c>
      <c r="AX20" s="117">
        <f>COUNTA(AX5:AX18)</f>
        <v>2</v>
      </c>
      <c r="AY20" s="117">
        <f>COUNTA(AY5:AY18)</f>
        <v>2</v>
      </c>
      <c r="BA20" s="128" t="s">
        <v>4</v>
      </c>
      <c r="BB20" s="117">
        <f>COUNTA(BB5:BB18)</f>
        <v>4</v>
      </c>
      <c r="BC20" s="117">
        <f>COUNTA(BC5:BC18)</f>
        <v>3</v>
      </c>
      <c r="BD20" s="117">
        <f>COUNTA(BD5:BD18)</f>
        <v>3</v>
      </c>
      <c r="BE20" s="117">
        <f>COUNTA(BE5:BE18)</f>
        <v>3</v>
      </c>
      <c r="BF20" s="127">
        <f>SUM(BB20:BE20)</f>
        <v>13</v>
      </c>
      <c r="BH20" s="127">
        <f>SUM(BI20:BL20)</f>
        <v>13</v>
      </c>
      <c r="BI20" s="117">
        <f>COUNTA(BI5:BI18)</f>
        <v>4</v>
      </c>
      <c r="BJ20" s="117">
        <f>COUNTA(BJ5:BJ18)</f>
        <v>3</v>
      </c>
      <c r="BK20" s="117">
        <f>COUNTA(BK5:BK18)</f>
        <v>3</v>
      </c>
      <c r="BL20" s="117">
        <f>COUNTA(BL5:BL18)</f>
        <v>3</v>
      </c>
    </row>
    <row r="21" spans="1:65" ht="15.75">
      <c r="A21" s="126" t="s">
        <v>6</v>
      </c>
      <c r="B21" s="108">
        <f>B20-COUNT(B5:B18)</f>
        <v>1</v>
      </c>
      <c r="C21" s="108">
        <f>C20-COUNT(C5:C18)</f>
        <v>0</v>
      </c>
      <c r="D21" s="108">
        <f>D20-COUNT(D5:D18)</f>
        <v>0</v>
      </c>
      <c r="E21" s="108">
        <f>E20-COUNT(E5:E18)</f>
        <v>2</v>
      </c>
      <c r="F21" s="127">
        <f>SUM(B21:E21)</f>
        <v>3</v>
      </c>
      <c r="H21" s="127">
        <f>SUM(I21:L21)</f>
        <v>4</v>
      </c>
      <c r="I21" s="584">
        <f>I20-COUNT(I5:I18)</f>
        <v>1</v>
      </c>
      <c r="J21" s="584">
        <f>J20-COUNT(J5:J18)</f>
        <v>1</v>
      </c>
      <c r="K21" s="584">
        <f>K20-COUNT(K5:K18)</f>
        <v>1</v>
      </c>
      <c r="L21" s="108">
        <f>L20-COUNT(L5:L18)</f>
        <v>1</v>
      </c>
      <c r="N21" s="126" t="s">
        <v>6</v>
      </c>
      <c r="O21" s="584">
        <f>O20-COUNT(O5:O18)</f>
        <v>0</v>
      </c>
      <c r="P21" s="584">
        <f>P20-COUNT(P5:P18)</f>
        <v>1</v>
      </c>
      <c r="Q21" s="108">
        <f>Q20-COUNT(Q5:Q18)</f>
        <v>0</v>
      </c>
      <c r="R21" s="108">
        <f>R20-COUNT(R5:R18)</f>
        <v>0</v>
      </c>
      <c r="S21" s="127">
        <f>SUM(O21:R21)</f>
        <v>1</v>
      </c>
      <c r="U21" s="127">
        <f>SUM(V21:Y21)</f>
        <v>3</v>
      </c>
      <c r="V21" s="108">
        <f>V20-COUNT(V5:V18)</f>
        <v>0</v>
      </c>
      <c r="W21" s="108">
        <f>W20-COUNT(W5:W18)</f>
        <v>1</v>
      </c>
      <c r="X21" s="108">
        <f>X20-COUNT(X5:X18)</f>
        <v>2</v>
      </c>
      <c r="Y21" s="108">
        <f>Y20-COUNT(Y5:Y18)</f>
        <v>0</v>
      </c>
      <c r="AA21" s="126" t="s">
        <v>6</v>
      </c>
      <c r="AB21" s="108">
        <f>AB20-COUNT(AB5:AB18)</f>
        <v>0</v>
      </c>
      <c r="AC21" s="108">
        <f>AC20-COUNT(AC5:AC18)</f>
        <v>0</v>
      </c>
      <c r="AD21" s="108">
        <f>AD20-COUNT(AD5:AD18)</f>
        <v>0</v>
      </c>
      <c r="AE21" s="108">
        <f>AE20-COUNT(AE5:AE18)</f>
        <v>1</v>
      </c>
      <c r="AF21" s="127">
        <f>SUM(AB21:AE21)</f>
        <v>1</v>
      </c>
      <c r="AH21" s="127">
        <f>SUM(AI21:AL21)</f>
        <v>0</v>
      </c>
      <c r="AI21" s="584">
        <f>AI20-COUNT(AI5:AI18)</f>
        <v>0</v>
      </c>
      <c r="AJ21" s="584">
        <f>AJ20-COUNT(AJ5:AJ18)</f>
        <v>0</v>
      </c>
      <c r="AK21" s="108"/>
      <c r="AL21" s="108">
        <f>AL20-COUNT(AL5:AL18)</f>
        <v>0</v>
      </c>
      <c r="AN21" s="126" t="s">
        <v>6</v>
      </c>
      <c r="AO21" s="108">
        <f>AO20-COUNT(AO5:AO18)</f>
        <v>0</v>
      </c>
      <c r="AP21" s="108">
        <f>AP20-COUNT(AP5:AP18)</f>
        <v>1</v>
      </c>
      <c r="AQ21" s="108">
        <f>AQ20-COUNT(AQ5:AQ18)</f>
        <v>0</v>
      </c>
      <c r="AR21" s="108">
        <f>AR20-COUNT(AR5:AR18)</f>
        <v>1</v>
      </c>
      <c r="AS21" s="127">
        <f>SUM(AO21:AR21)</f>
        <v>2</v>
      </c>
      <c r="AU21" s="127">
        <f>SUM(AV21:AY21)</f>
        <v>1</v>
      </c>
      <c r="AV21" s="584">
        <f>AV20-COUNT(AV5:AV18)</f>
        <v>0</v>
      </c>
      <c r="AW21" s="584">
        <f>AW20-COUNT(AW5:AW18)</f>
        <v>0</v>
      </c>
      <c r="AX21" s="108"/>
      <c r="AY21" s="108">
        <f>AY20-COUNT(AY5:AY18)</f>
        <v>1</v>
      </c>
      <c r="BA21" s="126" t="s">
        <v>6</v>
      </c>
      <c r="BB21" s="108">
        <f>BB20-COUNT(BB5:BB18)</f>
        <v>1</v>
      </c>
      <c r="BC21" s="108">
        <f>BC20-COUNT(BC5:BC18)</f>
        <v>1</v>
      </c>
      <c r="BD21" s="108">
        <f>BD20-COUNT(BD5:BD18)</f>
        <v>0</v>
      </c>
      <c r="BE21" s="108">
        <f>BE20-COUNT(BE5:BE18)</f>
        <v>1</v>
      </c>
      <c r="BF21" s="127">
        <f>SUM(BB21:BE21)</f>
        <v>3</v>
      </c>
      <c r="BH21" s="127">
        <f>SUM(BI21:BL21)</f>
        <v>1</v>
      </c>
      <c r="BI21" s="584">
        <f>BI20-COUNT(BI5:BI18)</f>
        <v>1</v>
      </c>
      <c r="BJ21" s="584">
        <f>BJ20-COUNT(BJ5:BJ18)</f>
        <v>0</v>
      </c>
      <c r="BK21" s="108"/>
      <c r="BL21" s="108">
        <f>BL20-COUNT(BL5:BL18)</f>
        <v>0</v>
      </c>
    </row>
    <row r="22" spans="1:65" ht="15.75">
      <c r="A22" s="126" t="s">
        <v>12</v>
      </c>
      <c r="B22" s="129">
        <f>B21/B20</f>
        <v>0.33333333333333331</v>
      </c>
      <c r="C22" s="129">
        <f>C21/C20</f>
        <v>0</v>
      </c>
      <c r="D22" s="129">
        <f>D21/D20</f>
        <v>0</v>
      </c>
      <c r="E22" s="129">
        <f>E21/E20</f>
        <v>1</v>
      </c>
      <c r="F22" s="130">
        <f>F21/F20</f>
        <v>0.27272727272727271</v>
      </c>
      <c r="H22" s="130">
        <f>H21/H20</f>
        <v>0.4</v>
      </c>
      <c r="I22" s="131">
        <f>I21/I20</f>
        <v>0.33333333333333331</v>
      </c>
      <c r="J22" s="131">
        <f>J21/J20</f>
        <v>0.33333333333333331</v>
      </c>
      <c r="K22" s="129">
        <f>K21/K20</f>
        <v>0.5</v>
      </c>
      <c r="L22" s="129">
        <f>L21/L20</f>
        <v>0.5</v>
      </c>
      <c r="N22" s="126" t="s">
        <v>12</v>
      </c>
      <c r="O22" s="131">
        <f>O21/O20</f>
        <v>0</v>
      </c>
      <c r="P22" s="131">
        <f>P21/P20</f>
        <v>0.5</v>
      </c>
      <c r="Q22" s="129">
        <f>Q21/Q20</f>
        <v>0</v>
      </c>
      <c r="R22" s="129">
        <f>R21/R20</f>
        <v>0</v>
      </c>
      <c r="S22" s="130">
        <f>S21/S20</f>
        <v>0.125</v>
      </c>
      <c r="U22" s="130">
        <f>U21/U20</f>
        <v>0.42857142857142855</v>
      </c>
      <c r="V22" s="129">
        <f>V21/V20</f>
        <v>0</v>
      </c>
      <c r="W22" s="129">
        <f>W21/W20</f>
        <v>0.5</v>
      </c>
      <c r="X22" s="129">
        <f>X21/X20</f>
        <v>1</v>
      </c>
      <c r="Y22" s="129">
        <f>Y21/Y20</f>
        <v>0</v>
      </c>
      <c r="AA22" s="126" t="s">
        <v>12</v>
      </c>
      <c r="AB22" s="129">
        <f>AB21/AB20</f>
        <v>0</v>
      </c>
      <c r="AC22" s="129">
        <f>AC21/AC20</f>
        <v>0</v>
      </c>
      <c r="AD22" s="129">
        <f>AD21/AD20</f>
        <v>0</v>
      </c>
      <c r="AE22" s="129">
        <f>AE21/AE20</f>
        <v>0.5</v>
      </c>
      <c r="AF22" s="130">
        <f>AF21/AF20</f>
        <v>0.125</v>
      </c>
      <c r="AH22" s="130">
        <f>AH21/AH20</f>
        <v>0</v>
      </c>
      <c r="AI22" s="131">
        <f>AI21/AI20</f>
        <v>0</v>
      </c>
      <c r="AJ22" s="131">
        <f>AJ21/AJ20</f>
        <v>0</v>
      </c>
      <c r="AK22" s="129">
        <f>AK21/AK20</f>
        <v>0</v>
      </c>
      <c r="AL22" s="129">
        <f>AL21/AL20</f>
        <v>0</v>
      </c>
      <c r="AN22" s="126" t="s">
        <v>12</v>
      </c>
      <c r="AO22" s="129">
        <f>AO21/AO20</f>
        <v>0</v>
      </c>
      <c r="AP22" s="129">
        <f>AP21/AP20</f>
        <v>0.5</v>
      </c>
      <c r="AQ22" s="129">
        <f>AQ21/AQ20</f>
        <v>0</v>
      </c>
      <c r="AR22" s="129">
        <f>AR21/AR20</f>
        <v>0.5</v>
      </c>
      <c r="AS22" s="130">
        <f>AS21/AS20</f>
        <v>0.25</v>
      </c>
      <c r="AU22" s="130">
        <f>AU21/AU20</f>
        <v>0.125</v>
      </c>
      <c r="AV22" s="131">
        <f>AV21/AV20</f>
        <v>0</v>
      </c>
      <c r="AW22" s="131">
        <f>AW21/AW20</f>
        <v>0</v>
      </c>
      <c r="AX22" s="129">
        <f>AX21/AX20</f>
        <v>0</v>
      </c>
      <c r="AY22" s="129">
        <f>AY21/AY20</f>
        <v>0.5</v>
      </c>
      <c r="BA22" s="126" t="s">
        <v>12</v>
      </c>
      <c r="BB22" s="129">
        <f>BB21/BB20</f>
        <v>0.25</v>
      </c>
      <c r="BC22" s="129">
        <f>BC21/BC20</f>
        <v>0.33333333333333331</v>
      </c>
      <c r="BD22" s="129">
        <f>BD21/BD20</f>
        <v>0</v>
      </c>
      <c r="BE22" s="129">
        <f>BE21/BE20</f>
        <v>0.33333333333333331</v>
      </c>
      <c r="BF22" s="130">
        <f>BF21/BF20</f>
        <v>0.23076923076923078</v>
      </c>
      <c r="BH22" s="130">
        <f>BH21/BH20</f>
        <v>7.6923076923076927E-2</v>
      </c>
      <c r="BI22" s="131">
        <f>BI21/BI20</f>
        <v>0.25</v>
      </c>
      <c r="BJ22" s="131">
        <f>BJ21/BJ20</f>
        <v>0</v>
      </c>
      <c r="BK22" s="129">
        <f>BK21/BK20</f>
        <v>0</v>
      </c>
      <c r="BL22" s="129">
        <f>BL21/BL20</f>
        <v>0</v>
      </c>
    </row>
    <row r="23" spans="1:65" ht="15.75">
      <c r="A23" s="126" t="s">
        <v>5</v>
      </c>
      <c r="B23" s="132">
        <f>B19/B20</f>
        <v>6</v>
      </c>
      <c r="C23" s="132">
        <f>C19/C20</f>
        <v>5.333333333333333</v>
      </c>
      <c r="D23" s="132">
        <f>D19/D20</f>
        <v>5.333333333333333</v>
      </c>
      <c r="E23" s="132">
        <f>E19/E20</f>
        <v>0</v>
      </c>
      <c r="F23" s="133">
        <f>F19/F20</f>
        <v>4.5454545454545459</v>
      </c>
      <c r="H23" s="133">
        <f>H19/H20</f>
        <v>3.2</v>
      </c>
      <c r="I23" s="132">
        <f>I19/I20</f>
        <v>5</v>
      </c>
      <c r="J23" s="132">
        <f>J19/J20</f>
        <v>3.6666666666666665</v>
      </c>
      <c r="K23" s="134">
        <f>K19/K20</f>
        <v>2</v>
      </c>
      <c r="L23" s="132">
        <f>L19/L20</f>
        <v>1</v>
      </c>
      <c r="N23" s="126" t="s">
        <v>5</v>
      </c>
      <c r="O23" s="132">
        <f>O19/O20</f>
        <v>6.5</v>
      </c>
      <c r="P23" s="132">
        <f>P19/P20</f>
        <v>6</v>
      </c>
      <c r="Q23" s="134">
        <f>Q19/Q20</f>
        <v>7</v>
      </c>
      <c r="R23" s="132">
        <f>R19/R20</f>
        <v>5.5</v>
      </c>
      <c r="S23" s="133">
        <f>S19/S20</f>
        <v>6.25</v>
      </c>
      <c r="U23" s="133">
        <f>U19/U20</f>
        <v>5.4285714285714288</v>
      </c>
      <c r="V23" s="132">
        <f>V19/V20</f>
        <v>8.5</v>
      </c>
      <c r="W23" s="132">
        <f>W19/W20</f>
        <v>5.5</v>
      </c>
      <c r="X23" s="132">
        <f>X19/X20</f>
        <v>0</v>
      </c>
      <c r="Y23" s="132">
        <f>Y19/Y20</f>
        <v>10</v>
      </c>
      <c r="AA23" s="126" t="s">
        <v>5</v>
      </c>
      <c r="AB23" s="132">
        <f>AB19/AB20</f>
        <v>11.5</v>
      </c>
      <c r="AC23" s="132">
        <f>AC19/AC20</f>
        <v>-6</v>
      </c>
      <c r="AD23" s="132">
        <f>AD19/AD20</f>
        <v>9</v>
      </c>
      <c r="AE23" s="132">
        <f>AE19/AE20</f>
        <v>3.5</v>
      </c>
      <c r="AF23" s="133">
        <f>AF19/AF20</f>
        <v>4.5</v>
      </c>
      <c r="AH23" s="133">
        <f>AH19/AH20</f>
        <v>6.25</v>
      </c>
      <c r="AI23" s="132">
        <f>AI19/AI20</f>
        <v>5</v>
      </c>
      <c r="AJ23" s="132">
        <f>AJ19/AJ20</f>
        <v>3.5</v>
      </c>
      <c r="AK23" s="134">
        <f>AK19/AK20</f>
        <v>5.5</v>
      </c>
      <c r="AL23" s="132">
        <f>AL19/AL20</f>
        <v>11</v>
      </c>
      <c r="AN23" s="126" t="s">
        <v>5</v>
      </c>
      <c r="AO23" s="132">
        <f>AO19/AO20</f>
        <v>6</v>
      </c>
      <c r="AP23" s="132">
        <f>AP19/AP20</f>
        <v>4.5</v>
      </c>
      <c r="AQ23" s="132">
        <f>AQ19/AQ20</f>
        <v>6</v>
      </c>
      <c r="AR23" s="132">
        <f>AR19/AR20</f>
        <v>3.5</v>
      </c>
      <c r="AS23" s="133">
        <f>AS19/AS20</f>
        <v>5</v>
      </c>
      <c r="AU23" s="133">
        <f>AU19/AU20</f>
        <v>6.25</v>
      </c>
      <c r="AV23" s="132">
        <f>AV19/AV20</f>
        <v>9.5</v>
      </c>
      <c r="AW23" s="132">
        <f>AW19/AW20</f>
        <v>10</v>
      </c>
      <c r="AX23" s="134">
        <f>AX19/AX20</f>
        <v>4</v>
      </c>
      <c r="AY23" s="132">
        <f>AY19/AY20</f>
        <v>1.5</v>
      </c>
      <c r="BA23" s="126" t="s">
        <v>5</v>
      </c>
      <c r="BB23" s="132">
        <f>BB19/BB20</f>
        <v>6</v>
      </c>
      <c r="BC23" s="132">
        <f>BC19/BC20</f>
        <v>3</v>
      </c>
      <c r="BD23" s="132">
        <f>BD19/BD20</f>
        <v>-4</v>
      </c>
      <c r="BE23" s="132">
        <f>BE19/BE20</f>
        <v>4</v>
      </c>
      <c r="BF23" s="133">
        <f>BF19/BF20</f>
        <v>2.5384615384615383</v>
      </c>
      <c r="BH23" s="133">
        <f>BH19/BH20</f>
        <v>3.8461538461538463</v>
      </c>
      <c r="BI23" s="132">
        <f>BI19/BI20</f>
        <v>3.75</v>
      </c>
      <c r="BJ23" s="132">
        <f>BJ19/BJ20</f>
        <v>6</v>
      </c>
      <c r="BK23" s="134">
        <f>BK19/BK20</f>
        <v>0.66666666666666663</v>
      </c>
      <c r="BL23" s="132">
        <f>BL19/BL20</f>
        <v>5</v>
      </c>
    </row>
    <row r="24" spans="1:65" ht="15.75">
      <c r="A24" s="126" t="s">
        <v>8</v>
      </c>
      <c r="B24" s="135">
        <f>B19/(B20-B21)</f>
        <v>9</v>
      </c>
      <c r="C24" s="135">
        <f>C19/(C20-C21)</f>
        <v>5.333333333333333</v>
      </c>
      <c r="D24" s="135">
        <f>D19/(D20-D21)</f>
        <v>5.333333333333333</v>
      </c>
      <c r="E24" s="663">
        <v>0</v>
      </c>
      <c r="F24" s="136">
        <f>F19/(F20-F21)</f>
        <v>6.25</v>
      </c>
      <c r="H24" s="136">
        <f>H19/(H20-H21)</f>
        <v>5.333333333333333</v>
      </c>
      <c r="I24" s="135">
        <f>I19/(I20-I21)</f>
        <v>7.5</v>
      </c>
      <c r="J24" s="135">
        <f>J19/(J20-J21)</f>
        <v>5.5</v>
      </c>
      <c r="K24" s="135">
        <f>K19/(K20-K21)</f>
        <v>4</v>
      </c>
      <c r="L24" s="132">
        <f>L19/(L20-L21)</f>
        <v>2</v>
      </c>
      <c r="N24" s="126" t="s">
        <v>8</v>
      </c>
      <c r="O24" s="135">
        <f>O19/(O20-O21)</f>
        <v>6.5</v>
      </c>
      <c r="P24" s="132">
        <f>P19/(P20-P21)</f>
        <v>12</v>
      </c>
      <c r="Q24" s="134">
        <f>Q19/(Q20-Q21)</f>
        <v>7</v>
      </c>
      <c r="R24" s="135">
        <f>R19/(R20-R21)</f>
        <v>5.5</v>
      </c>
      <c r="S24" s="136">
        <f>S19/(S20-S21)</f>
        <v>7.1428571428571432</v>
      </c>
      <c r="U24" s="136">
        <f>U19/(U20-U21)</f>
        <v>9.5</v>
      </c>
      <c r="V24" s="135">
        <f>V19/(V20-V21)</f>
        <v>8.5</v>
      </c>
      <c r="W24" s="135">
        <f>W19/(W20-W21)</f>
        <v>11</v>
      </c>
      <c r="X24" s="663">
        <v>0</v>
      </c>
      <c r="Y24" s="135">
        <f>Y19/(Y20-Y21)</f>
        <v>10</v>
      </c>
      <c r="AA24" s="126" t="s">
        <v>8</v>
      </c>
      <c r="AB24" s="135">
        <f>AB19/(AB20-AB21)</f>
        <v>11.5</v>
      </c>
      <c r="AC24" s="135">
        <f>AC19/(AC20-AC21)</f>
        <v>-6</v>
      </c>
      <c r="AD24" s="135">
        <f>AD19/(AD20-AD21)</f>
        <v>9</v>
      </c>
      <c r="AE24" s="135">
        <f>AE19/(AE20-AE21)</f>
        <v>7</v>
      </c>
      <c r="AF24" s="136">
        <f>AF19/(AF20-AF21)</f>
        <v>5.1428571428571432</v>
      </c>
      <c r="AH24" s="136">
        <f>AH19/(AH20-AH21)</f>
        <v>6.25</v>
      </c>
      <c r="AI24" s="135">
        <f>AI19/(AI20-AI21)</f>
        <v>5</v>
      </c>
      <c r="AJ24" s="135">
        <f>AJ19/(AJ20-AJ21)</f>
        <v>3.5</v>
      </c>
      <c r="AK24" s="134">
        <f>AK19/(AK20-AK21)</f>
        <v>5.5</v>
      </c>
      <c r="AL24" s="132">
        <f>AL19/(AL20-AL21)</f>
        <v>11</v>
      </c>
      <c r="AN24" s="126" t="s">
        <v>8</v>
      </c>
      <c r="AO24" s="135">
        <f>AO19/(AO20-AO21)</f>
        <v>6</v>
      </c>
      <c r="AP24" s="135">
        <f>AP19/(AP20-AP21)</f>
        <v>9</v>
      </c>
      <c r="AQ24" s="135">
        <f>AQ19/(AQ20-AQ21)</f>
        <v>6</v>
      </c>
      <c r="AR24" s="135">
        <f>AR19/(AR20-AR21)</f>
        <v>7</v>
      </c>
      <c r="AS24" s="136">
        <f>AS19/(AS20-AS21)</f>
        <v>6.666666666666667</v>
      </c>
      <c r="AU24" s="136">
        <f>AU19/(AU20-AU21)</f>
        <v>7.1428571428571432</v>
      </c>
      <c r="AV24" s="135">
        <f>AV19/(AV20-AV21)</f>
        <v>9.5</v>
      </c>
      <c r="AW24" s="135">
        <f>AW19/(AW20-AW21)</f>
        <v>10</v>
      </c>
      <c r="AX24" s="134">
        <f>AX19/(AX20-AX21)</f>
        <v>4</v>
      </c>
      <c r="AY24" s="132">
        <f>AY19/(AY20-AY21)</f>
        <v>3</v>
      </c>
      <c r="BA24" s="126" t="s">
        <v>8</v>
      </c>
      <c r="BB24" s="135">
        <f>BB19/(BB20-BB21)</f>
        <v>8</v>
      </c>
      <c r="BC24" s="135">
        <f>BC19/(BC20-BC21)</f>
        <v>4.5</v>
      </c>
      <c r="BD24" s="135">
        <f>BD19/(BD20-BD21)</f>
        <v>-4</v>
      </c>
      <c r="BE24" s="135">
        <f>BE19/(BE20-BE21)</f>
        <v>6</v>
      </c>
      <c r="BF24" s="136">
        <f>BF19/(BF20-BF21)</f>
        <v>3.3</v>
      </c>
      <c r="BH24" s="136">
        <f>BH19/(BH20-BH21)</f>
        <v>4.166666666666667</v>
      </c>
      <c r="BI24" s="135">
        <f>BI19/(BI20-BI21)</f>
        <v>5</v>
      </c>
      <c r="BJ24" s="135">
        <f>BJ19/(BJ20-BJ21)</f>
        <v>6</v>
      </c>
      <c r="BK24" s="134">
        <f>BK19/(BK20-BK21)</f>
        <v>0.66666666666666663</v>
      </c>
      <c r="BL24" s="132">
        <f>BL19/(BL20-BL21)</f>
        <v>5</v>
      </c>
    </row>
    <row r="25" spans="1:65" s="111" customFormat="1" ht="15.75">
      <c r="A25" s="648" t="s">
        <v>154</v>
      </c>
      <c r="B25" s="110"/>
      <c r="C25" s="580"/>
      <c r="D25" s="110"/>
      <c r="E25" s="580"/>
      <c r="G25" s="580"/>
      <c r="N25" s="109"/>
      <c r="O25" s="110"/>
      <c r="P25" s="580"/>
      <c r="Q25" s="110"/>
      <c r="R25" s="580"/>
      <c r="S25" s="580"/>
      <c r="T25" s="580"/>
      <c r="AA25" s="109"/>
      <c r="AB25" s="110"/>
      <c r="AC25" s="580"/>
      <c r="AD25" s="110"/>
      <c r="AE25" s="580"/>
      <c r="AG25" s="580"/>
      <c r="AN25" s="109"/>
      <c r="AO25" s="110"/>
      <c r="AP25" s="580"/>
      <c r="AQ25" s="110"/>
      <c r="AR25" s="580"/>
      <c r="AT25" s="580"/>
      <c r="BA25" s="109"/>
      <c r="BB25" s="110"/>
      <c r="BC25" s="580"/>
      <c r="BD25" s="110"/>
      <c r="BE25" s="580"/>
      <c r="BG25" s="580"/>
    </row>
    <row r="26" spans="1:65" ht="15.75">
      <c r="A26" s="502"/>
      <c r="B26" s="1541" t="s">
        <v>130</v>
      </c>
      <c r="C26" s="1541"/>
      <c r="D26" s="1541"/>
      <c r="E26" s="1541"/>
      <c r="I26" s="1544" t="s">
        <v>117</v>
      </c>
      <c r="J26" s="1544"/>
      <c r="K26" s="1544"/>
      <c r="L26" s="1544"/>
      <c r="N26" s="502"/>
      <c r="O26" s="1544" t="s">
        <v>117</v>
      </c>
      <c r="P26" s="1544"/>
      <c r="Q26" s="1544"/>
      <c r="R26" s="1544"/>
      <c r="V26" s="1541" t="s">
        <v>130</v>
      </c>
      <c r="W26" s="1541"/>
      <c r="X26" s="1541"/>
      <c r="Y26" s="1541"/>
      <c r="AA26" s="502"/>
      <c r="AB26" s="1540" t="s">
        <v>130</v>
      </c>
      <c r="AC26" s="1540"/>
      <c r="AD26" s="1540"/>
      <c r="AE26" s="1540"/>
      <c r="AI26" s="1541" t="s">
        <v>117</v>
      </c>
      <c r="AJ26" s="1541"/>
      <c r="AK26" s="1541"/>
      <c r="AL26" s="1541"/>
      <c r="AN26" s="502"/>
      <c r="AO26" s="1541" t="s">
        <v>117</v>
      </c>
      <c r="AP26" s="1541"/>
      <c r="AQ26" s="1541"/>
      <c r="AR26" s="1541"/>
      <c r="AV26" s="1540" t="s">
        <v>130</v>
      </c>
      <c r="AW26" s="1540"/>
      <c r="AX26" s="1540"/>
      <c r="AY26" s="1540"/>
      <c r="BA26" s="502"/>
      <c r="BB26" s="1544" t="s">
        <v>117</v>
      </c>
      <c r="BC26" s="1544"/>
      <c r="BD26" s="1544"/>
      <c r="BE26" s="1544"/>
      <c r="BI26" s="1541" t="s">
        <v>130</v>
      </c>
      <c r="BJ26" s="1541"/>
      <c r="BK26" s="1541"/>
      <c r="BL26" s="1541"/>
    </row>
    <row r="27" spans="1:65" ht="15.75">
      <c r="B27" s="585">
        <v>1</v>
      </c>
      <c r="C27" s="586">
        <v>2</v>
      </c>
      <c r="D27" s="587">
        <v>3</v>
      </c>
      <c r="E27" s="873">
        <v>4</v>
      </c>
      <c r="F27" s="113">
        <f>IF(COUNTIF(F29:F38,"&gt;37")=0,0,COUNTIF(F29:F38,"&gt;37")-1)</f>
        <v>0</v>
      </c>
      <c r="H27" s="113">
        <f>IF(COUNTIF(H29:H38,"&gt;37")=0,0,COUNTIF(H29:H38,"&gt;37")-1)</f>
        <v>1</v>
      </c>
      <c r="I27" s="588">
        <v>1</v>
      </c>
      <c r="J27" s="589">
        <v>2</v>
      </c>
      <c r="K27" s="590">
        <v>3</v>
      </c>
      <c r="L27" s="874">
        <v>4</v>
      </c>
      <c r="O27" s="588">
        <v>1</v>
      </c>
      <c r="P27" s="589">
        <v>2</v>
      </c>
      <c r="Q27" s="590">
        <v>3</v>
      </c>
      <c r="R27" s="874">
        <v>4</v>
      </c>
      <c r="S27" s="113">
        <f>IF(COUNTIF(S29:S38,"&gt;37")=0,0,COUNTIF(S29:S38,"&gt;37")-1)</f>
        <v>3</v>
      </c>
      <c r="U27" s="113">
        <f>IF(COUNTIF(U29:U38,"&gt;37")=0,0,COUNTIF(U29:U38,"&gt;37")-1)</f>
        <v>2</v>
      </c>
      <c r="V27" s="585">
        <v>1</v>
      </c>
      <c r="W27" s="586">
        <v>2</v>
      </c>
      <c r="X27" s="587">
        <v>3</v>
      </c>
      <c r="Y27" s="873">
        <v>4</v>
      </c>
      <c r="AB27" s="588">
        <v>1</v>
      </c>
      <c r="AC27" s="589">
        <v>2</v>
      </c>
      <c r="AD27" s="590">
        <v>3</v>
      </c>
      <c r="AE27" s="874">
        <v>4</v>
      </c>
      <c r="AF27" s="113">
        <f>IF(COUNTIF(AF29:AF38,"&gt;37")=0,0,COUNTIF(AF29:AF38,"&gt;37")-1)</f>
        <v>2</v>
      </c>
      <c r="AH27" s="113">
        <f>IF(COUNTIF(AH29:AH38,"&gt;37")=0,0,COUNTIF(AH29:AH38,"&gt;37")-1)</f>
        <v>1</v>
      </c>
      <c r="AI27" s="585">
        <v>1</v>
      </c>
      <c r="AJ27" s="586">
        <v>2</v>
      </c>
      <c r="AK27" s="587">
        <v>3</v>
      </c>
      <c r="AL27" s="873">
        <v>4</v>
      </c>
      <c r="AO27" s="585">
        <v>1</v>
      </c>
      <c r="AP27" s="586">
        <v>2</v>
      </c>
      <c r="AQ27" s="587">
        <v>3</v>
      </c>
      <c r="AR27" s="873">
        <v>4</v>
      </c>
      <c r="AS27" s="113">
        <f>IF(COUNTIF(AS29:AS38,"&gt;37")=0,0,COUNTIF(AS29:AS38,"&gt;37")-1)</f>
        <v>1</v>
      </c>
      <c r="AU27" s="113">
        <f>IF(COUNTIF(AU29:AU38,"&gt;37")=0,0,COUNTIF(AU29:AU38,"&gt;37")-1)</f>
        <v>2</v>
      </c>
      <c r="AV27" s="588">
        <v>1</v>
      </c>
      <c r="AW27" s="589">
        <v>2</v>
      </c>
      <c r="AX27" s="590">
        <v>3</v>
      </c>
      <c r="AY27" s="874">
        <v>4</v>
      </c>
      <c r="BB27" s="588">
        <v>1</v>
      </c>
      <c r="BC27" s="589">
        <v>2</v>
      </c>
      <c r="BD27" s="590">
        <v>3</v>
      </c>
      <c r="BE27" s="874">
        <v>4</v>
      </c>
      <c r="BF27" s="113">
        <f>IF(COUNTIF(BF29:BF38,"&gt;37")=0,0,COUNTIF(BF29:BF38,"&gt;37")-1)</f>
        <v>1</v>
      </c>
      <c r="BH27" s="113">
        <f>IF(COUNTIF(BH29:BH38,"&gt;37")=0,0,COUNTIF(BH29:BH38,"&gt;37")-1)</f>
        <v>0</v>
      </c>
      <c r="BI27" s="585">
        <v>1</v>
      </c>
      <c r="BJ27" s="586">
        <v>2</v>
      </c>
      <c r="BK27" s="587">
        <v>3</v>
      </c>
      <c r="BL27" s="873">
        <v>4</v>
      </c>
    </row>
    <row r="28" spans="1:65" s="596" customFormat="1" ht="60.75">
      <c r="A28" s="591"/>
      <c r="B28" s="592" t="s">
        <v>99</v>
      </c>
      <c r="C28" s="592" t="s">
        <v>100</v>
      </c>
      <c r="D28" s="592" t="s">
        <v>101</v>
      </c>
      <c r="E28" s="592" t="s">
        <v>102</v>
      </c>
      <c r="F28" s="593"/>
      <c r="G28" s="642"/>
      <c r="H28" s="593"/>
      <c r="I28" s="594" t="s">
        <v>118</v>
      </c>
      <c r="J28" s="594" t="s">
        <v>119</v>
      </c>
      <c r="K28" s="594" t="s">
        <v>120</v>
      </c>
      <c r="L28" s="594" t="s">
        <v>121</v>
      </c>
      <c r="M28" s="641"/>
      <c r="N28" s="591"/>
      <c r="O28" s="594" t="s">
        <v>120</v>
      </c>
      <c r="P28" s="594" t="s">
        <v>121</v>
      </c>
      <c r="Q28" s="594" t="s">
        <v>118</v>
      </c>
      <c r="R28" s="594" t="s">
        <v>119</v>
      </c>
      <c r="S28" s="593"/>
      <c r="T28" s="642"/>
      <c r="U28" s="593"/>
      <c r="V28" s="592" t="s">
        <v>99</v>
      </c>
      <c r="W28" s="592" t="s">
        <v>100</v>
      </c>
      <c r="X28" s="592" t="s">
        <v>101</v>
      </c>
      <c r="Y28" s="592" t="s">
        <v>102</v>
      </c>
      <c r="Z28" s="641"/>
      <c r="AA28" s="591"/>
      <c r="AB28" s="594" t="s">
        <v>99</v>
      </c>
      <c r="AC28" s="594" t="s">
        <v>100</v>
      </c>
      <c r="AD28" s="594" t="s">
        <v>101</v>
      </c>
      <c r="AE28" s="594" t="s">
        <v>102</v>
      </c>
      <c r="AF28" s="593"/>
      <c r="AG28" s="642"/>
      <c r="AH28" s="593"/>
      <c r="AI28" s="592" t="s">
        <v>121</v>
      </c>
      <c r="AJ28" s="592" t="s">
        <v>118</v>
      </c>
      <c r="AK28" s="592" t="s">
        <v>119</v>
      </c>
      <c r="AL28" s="592" t="s">
        <v>120</v>
      </c>
      <c r="AM28" s="641"/>
      <c r="AN28" s="591"/>
      <c r="AO28" s="592" t="s">
        <v>119</v>
      </c>
      <c r="AP28" s="592" t="s">
        <v>120</v>
      </c>
      <c r="AQ28" s="592" t="s">
        <v>121</v>
      </c>
      <c r="AR28" s="592" t="s">
        <v>118</v>
      </c>
      <c r="AS28" s="593"/>
      <c r="AT28" s="642"/>
      <c r="AU28" s="593"/>
      <c r="AV28" s="594" t="s">
        <v>99</v>
      </c>
      <c r="AW28" s="594" t="s">
        <v>100</v>
      </c>
      <c r="AX28" s="594" t="s">
        <v>101</v>
      </c>
      <c r="AY28" s="594" t="s">
        <v>102</v>
      </c>
      <c r="AZ28" s="641"/>
      <c r="BA28" s="591"/>
      <c r="BB28" s="594" t="s">
        <v>118</v>
      </c>
      <c r="BC28" s="594" t="s">
        <v>119</v>
      </c>
      <c r="BD28" s="594" t="s">
        <v>120</v>
      </c>
      <c r="BE28" s="594" t="s">
        <v>121</v>
      </c>
      <c r="BF28" s="593"/>
      <c r="BG28" s="642"/>
      <c r="BH28" s="593"/>
      <c r="BI28" s="592" t="s">
        <v>99</v>
      </c>
      <c r="BJ28" s="592" t="s">
        <v>100</v>
      </c>
      <c r="BK28" s="592" t="s">
        <v>101</v>
      </c>
      <c r="BL28" s="592" t="s">
        <v>102</v>
      </c>
      <c r="BM28" s="641"/>
    </row>
    <row r="29" spans="1:65" ht="15.75">
      <c r="A29" s="118">
        <v>1</v>
      </c>
      <c r="B29" s="108">
        <v>9</v>
      </c>
      <c r="C29" s="117"/>
      <c r="D29" s="117"/>
      <c r="E29" s="107"/>
      <c r="F29" s="120">
        <f>SUM(B29:E$29)</f>
        <v>9</v>
      </c>
      <c r="G29" s="595">
        <f t="shared" ref="G29:G34" si="5">F29-H29</f>
        <v>0</v>
      </c>
      <c r="H29" s="141">
        <f>SUM(I29:L$29)</f>
        <v>9</v>
      </c>
      <c r="I29" s="108">
        <v>9</v>
      </c>
      <c r="J29" s="117"/>
      <c r="K29" s="117"/>
      <c r="L29" s="107"/>
      <c r="N29" s="118">
        <v>1</v>
      </c>
      <c r="O29" s="108">
        <v>9</v>
      </c>
      <c r="P29" s="117"/>
      <c r="Q29" s="117"/>
      <c r="R29" s="107"/>
      <c r="S29" s="120">
        <f>SUM(O29:R$29)</f>
        <v>9</v>
      </c>
      <c r="T29" s="595">
        <f>S29-U29</f>
        <v>2</v>
      </c>
      <c r="U29" s="141">
        <f>SUM(V29:Y$29)</f>
        <v>7</v>
      </c>
      <c r="V29" s="108">
        <v>7</v>
      </c>
      <c r="W29" s="117"/>
      <c r="X29" s="117"/>
      <c r="Y29" s="107"/>
      <c r="AA29" s="118">
        <v>1</v>
      </c>
      <c r="AB29" s="108">
        <v>12</v>
      </c>
      <c r="AC29" s="117"/>
      <c r="AD29" s="117"/>
      <c r="AE29" s="107"/>
      <c r="AF29" s="120">
        <f>SUM(AB29:AE$29)</f>
        <v>12</v>
      </c>
      <c r="AG29" s="595">
        <f>AF29-AH29</f>
        <v>0</v>
      </c>
      <c r="AH29" s="141">
        <f>SUM(AI29:AL$29)</f>
        <v>12</v>
      </c>
      <c r="AI29" s="108">
        <v>12</v>
      </c>
      <c r="AJ29" s="117"/>
      <c r="AK29" s="117"/>
      <c r="AL29" s="107"/>
      <c r="AN29" s="118">
        <v>1</v>
      </c>
      <c r="AO29" s="108">
        <v>10</v>
      </c>
      <c r="AP29" s="117"/>
      <c r="AQ29" s="117"/>
      <c r="AR29" s="107"/>
      <c r="AS29" s="120">
        <f>SUM(AO29:AR$29)</f>
        <v>10</v>
      </c>
      <c r="AT29" s="595">
        <f>AS29-AU29</f>
        <v>-1</v>
      </c>
      <c r="AU29" s="141">
        <f>SUM(AV29:AY$29)</f>
        <v>11</v>
      </c>
      <c r="AV29" s="108">
        <v>11</v>
      </c>
      <c r="AW29" s="117"/>
      <c r="AX29" s="117"/>
      <c r="AY29" s="107"/>
      <c r="BA29" s="118">
        <v>1</v>
      </c>
      <c r="BB29" s="108">
        <v>10</v>
      </c>
      <c r="BC29" s="117"/>
      <c r="BD29" s="117"/>
      <c r="BE29" s="107"/>
      <c r="BF29" s="120">
        <f>SUM(BB29:BE$29)</f>
        <v>10</v>
      </c>
      <c r="BG29" s="595">
        <f>BF29-BH29</f>
        <v>6</v>
      </c>
      <c r="BH29" s="141">
        <f>SUM(BI29:BL$29)</f>
        <v>4</v>
      </c>
      <c r="BI29" s="108">
        <v>4</v>
      </c>
      <c r="BJ29" s="117"/>
      <c r="BK29" s="117"/>
      <c r="BL29" s="107"/>
    </row>
    <row r="30" spans="1:65" ht="15.75">
      <c r="A30" s="122">
        <v>2</v>
      </c>
      <c r="B30" s="117"/>
      <c r="C30" s="108">
        <v>6</v>
      </c>
      <c r="D30" s="117"/>
      <c r="E30" s="117"/>
      <c r="F30" s="120">
        <f>SUM(B$29:E30)</f>
        <v>15</v>
      </c>
      <c r="G30" s="595">
        <f t="shared" si="5"/>
        <v>-6</v>
      </c>
      <c r="H30" s="141">
        <f>SUM(I$29:L30)</f>
        <v>21</v>
      </c>
      <c r="I30" s="117"/>
      <c r="J30" s="108">
        <v>12</v>
      </c>
      <c r="K30" s="117"/>
      <c r="L30" s="117"/>
      <c r="N30" s="122">
        <v>2</v>
      </c>
      <c r="O30" s="117"/>
      <c r="P30" s="108">
        <v>9</v>
      </c>
      <c r="Q30" s="117"/>
      <c r="R30" s="117"/>
      <c r="S30" s="120">
        <f>SUM(O$29:R30)</f>
        <v>18</v>
      </c>
      <c r="T30" s="595">
        <f t="shared" ref="T30:T36" si="6">S30-U30</f>
        <v>4</v>
      </c>
      <c r="U30" s="141">
        <f>SUM(V$29:Y30)</f>
        <v>14</v>
      </c>
      <c r="V30" s="117"/>
      <c r="W30" s="108">
        <v>7</v>
      </c>
      <c r="X30" s="117"/>
      <c r="Y30" s="117"/>
      <c r="AA30" s="122">
        <v>2</v>
      </c>
      <c r="AB30" s="117"/>
      <c r="AC30" s="108">
        <v>12</v>
      </c>
      <c r="AD30" s="117"/>
      <c r="AE30" s="117"/>
      <c r="AF30" s="120">
        <f>SUM(AB$29:AE30)</f>
        <v>24</v>
      </c>
      <c r="AG30" s="595">
        <f t="shared" ref="AG30:AG35" si="7">AF30-AH30</f>
        <v>12</v>
      </c>
      <c r="AH30" s="141">
        <f>SUM(AI$29:AL30)</f>
        <v>12</v>
      </c>
      <c r="AI30" s="117"/>
      <c r="AJ30" s="108" t="s">
        <v>2</v>
      </c>
      <c r="AK30" s="117"/>
      <c r="AL30" s="117"/>
      <c r="AN30" s="122">
        <v>2</v>
      </c>
      <c r="AO30" s="117"/>
      <c r="AP30" s="108">
        <v>8</v>
      </c>
      <c r="AQ30" s="117"/>
      <c r="AR30" s="117"/>
      <c r="AS30" s="120">
        <f>SUM(AO$29:AR30)</f>
        <v>18</v>
      </c>
      <c r="AT30" s="595">
        <f t="shared" ref="AT30:AT35" si="8">AS30-AU30</f>
        <v>0</v>
      </c>
      <c r="AU30" s="141">
        <f>SUM(AV$29:AY30)</f>
        <v>18</v>
      </c>
      <c r="AV30" s="117"/>
      <c r="AW30" s="108">
        <v>7</v>
      </c>
      <c r="AX30" s="117"/>
      <c r="AY30" s="117"/>
      <c r="BA30" s="122">
        <v>2</v>
      </c>
      <c r="BB30" s="117"/>
      <c r="BC30" s="108">
        <v>6</v>
      </c>
      <c r="BD30" s="117"/>
      <c r="BE30" s="117"/>
      <c r="BF30" s="120">
        <f>SUM(BB$29:BE30)</f>
        <v>16</v>
      </c>
      <c r="BG30" s="595">
        <f t="shared" ref="BG30:BG36" si="9">BF30-BH30</f>
        <v>3</v>
      </c>
      <c r="BH30" s="141">
        <f>SUM(BI$29:BL30)</f>
        <v>13</v>
      </c>
      <c r="BI30" s="117"/>
      <c r="BJ30" s="108">
        <v>9</v>
      </c>
      <c r="BK30" s="117"/>
      <c r="BL30" s="117"/>
    </row>
    <row r="31" spans="1:65" ht="15.75">
      <c r="A31" s="122">
        <v>3</v>
      </c>
      <c r="B31" s="108"/>
      <c r="C31" s="117"/>
      <c r="D31" s="117" t="s">
        <v>2</v>
      </c>
      <c r="E31" s="107"/>
      <c r="F31" s="120">
        <f>SUM(B$29:E31)</f>
        <v>15</v>
      </c>
      <c r="G31" s="595">
        <f t="shared" si="5"/>
        <v>-9</v>
      </c>
      <c r="H31" s="141">
        <f>SUM(I$29:L31)</f>
        <v>24</v>
      </c>
      <c r="I31" s="108"/>
      <c r="J31" s="117"/>
      <c r="K31" s="117">
        <v>3</v>
      </c>
      <c r="L31" s="107"/>
      <c r="N31" s="122">
        <v>3</v>
      </c>
      <c r="O31" s="108"/>
      <c r="P31" s="117"/>
      <c r="Q31" s="117">
        <v>7</v>
      </c>
      <c r="R31" s="107"/>
      <c r="S31" s="120">
        <f>SUM(O$29:R31)</f>
        <v>25</v>
      </c>
      <c r="T31" s="595">
        <f t="shared" si="6"/>
        <v>8</v>
      </c>
      <c r="U31" s="141">
        <f>SUM(V$29:Y31)</f>
        <v>17</v>
      </c>
      <c r="V31" s="108"/>
      <c r="W31" s="117"/>
      <c r="X31" s="117">
        <v>3</v>
      </c>
      <c r="Y31" s="107"/>
      <c r="AA31" s="122">
        <v>3</v>
      </c>
      <c r="AB31" s="108"/>
      <c r="AC31" s="117"/>
      <c r="AD31" s="117">
        <v>6</v>
      </c>
      <c r="AE31" s="107"/>
      <c r="AF31" s="120">
        <f>SUM(AB$29:AE31)</f>
        <v>30</v>
      </c>
      <c r="AG31" s="595">
        <f t="shared" si="7"/>
        <v>16</v>
      </c>
      <c r="AH31" s="141">
        <f>SUM(AI$29:AL31)</f>
        <v>14</v>
      </c>
      <c r="AI31" s="108"/>
      <c r="AJ31" s="117"/>
      <c r="AK31" s="117">
        <v>2</v>
      </c>
      <c r="AL31" s="107"/>
      <c r="AN31" s="122">
        <v>3</v>
      </c>
      <c r="AO31" s="108"/>
      <c r="AP31" s="117"/>
      <c r="AQ31" s="117">
        <v>10</v>
      </c>
      <c r="AR31" s="107"/>
      <c r="AS31" s="120">
        <f>SUM(AO$29:AR31)</f>
        <v>28</v>
      </c>
      <c r="AT31" s="595">
        <f t="shared" si="8"/>
        <v>0</v>
      </c>
      <c r="AU31" s="141">
        <f>SUM(AV$29:AY31)</f>
        <v>28</v>
      </c>
      <c r="AV31" s="108"/>
      <c r="AW31" s="117"/>
      <c r="AX31" s="117">
        <v>10</v>
      </c>
      <c r="AY31" s="107"/>
      <c r="BA31" s="122">
        <v>3</v>
      </c>
      <c r="BB31" s="108"/>
      <c r="BC31" s="117"/>
      <c r="BD31" s="117" t="s">
        <v>2</v>
      </c>
      <c r="BE31" s="107"/>
      <c r="BF31" s="120">
        <f>SUM(BB$29:BE31)</f>
        <v>16</v>
      </c>
      <c r="BG31" s="595">
        <f t="shared" si="9"/>
        <v>3</v>
      </c>
      <c r="BH31" s="141">
        <f>SUM(BI$29:BL31)</f>
        <v>13</v>
      </c>
      <c r="BI31" s="108"/>
      <c r="BJ31" s="117"/>
      <c r="BK31" s="117" t="s">
        <v>2</v>
      </c>
      <c r="BL31" s="107"/>
    </row>
    <row r="32" spans="1:65" ht="15.75">
      <c r="A32" s="122">
        <v>4</v>
      </c>
      <c r="B32" s="117"/>
      <c r="C32" s="108"/>
      <c r="D32" s="117"/>
      <c r="E32" s="117">
        <v>6</v>
      </c>
      <c r="F32" s="120">
        <f>SUM(B$29:E32)</f>
        <v>21</v>
      </c>
      <c r="G32" s="595">
        <f t="shared" si="5"/>
        <v>-15</v>
      </c>
      <c r="H32" s="141">
        <f>SUM(I$29:L32)</f>
        <v>36</v>
      </c>
      <c r="I32" s="117"/>
      <c r="J32" s="108"/>
      <c r="K32" s="117"/>
      <c r="L32" s="117">
        <v>12</v>
      </c>
      <c r="N32" s="122">
        <v>4</v>
      </c>
      <c r="O32" s="117"/>
      <c r="P32" s="108"/>
      <c r="Q32" s="117"/>
      <c r="R32" s="117">
        <v>2</v>
      </c>
      <c r="S32" s="120">
        <f>SUM(O$29:R32)</f>
        <v>27</v>
      </c>
      <c r="T32" s="595">
        <f t="shared" si="6"/>
        <v>0</v>
      </c>
      <c r="U32" s="141">
        <f>SUM(V$29:Y32)</f>
        <v>27</v>
      </c>
      <c r="V32" s="117"/>
      <c r="W32" s="108"/>
      <c r="X32" s="117"/>
      <c r="Y32" s="117">
        <v>10</v>
      </c>
      <c r="AA32" s="122">
        <v>4</v>
      </c>
      <c r="AB32" s="117"/>
      <c r="AC32" s="108"/>
      <c r="AD32" s="117"/>
      <c r="AE32" s="117">
        <v>7</v>
      </c>
      <c r="AF32" s="120">
        <f>SUM(AB$29:AE32)</f>
        <v>37</v>
      </c>
      <c r="AG32" s="595">
        <f t="shared" si="7"/>
        <v>12</v>
      </c>
      <c r="AH32" s="141">
        <f>SUM(AI$29:AL32)</f>
        <v>25</v>
      </c>
      <c r="AI32" s="117"/>
      <c r="AJ32" s="108"/>
      <c r="AK32" s="117"/>
      <c r="AL32" s="117">
        <v>11</v>
      </c>
      <c r="AN32" s="122">
        <v>4</v>
      </c>
      <c r="AO32" s="117"/>
      <c r="AP32" s="108"/>
      <c r="AQ32" s="117"/>
      <c r="AR32" s="117" t="s">
        <v>2</v>
      </c>
      <c r="AS32" s="120">
        <f>SUM(AO$29:AR32)</f>
        <v>28</v>
      </c>
      <c r="AT32" s="595">
        <f t="shared" si="8"/>
        <v>-9</v>
      </c>
      <c r="AU32" s="141">
        <f>SUM(AV$29:AY32)</f>
        <v>37</v>
      </c>
      <c r="AV32" s="117"/>
      <c r="AW32" s="108"/>
      <c r="AX32" s="117"/>
      <c r="AY32" s="117">
        <v>9</v>
      </c>
      <c r="BA32" s="122">
        <v>4</v>
      </c>
      <c r="BB32" s="117"/>
      <c r="BC32" s="108"/>
      <c r="BD32" s="117"/>
      <c r="BE32" s="117">
        <v>9</v>
      </c>
      <c r="BF32" s="120">
        <f>SUM(BB$29:BE32)</f>
        <v>25</v>
      </c>
      <c r="BG32" s="595">
        <f t="shared" si="9"/>
        <v>3</v>
      </c>
      <c r="BH32" s="141">
        <f>SUM(BI$29:BL32)</f>
        <v>22</v>
      </c>
      <c r="BI32" s="117"/>
      <c r="BJ32" s="108"/>
      <c r="BK32" s="117"/>
      <c r="BL32" s="117">
        <v>9</v>
      </c>
    </row>
    <row r="33" spans="1:64" ht="15.75">
      <c r="A33" s="122">
        <v>5</v>
      </c>
      <c r="B33" s="108">
        <v>12</v>
      </c>
      <c r="C33" s="117"/>
      <c r="D33" s="117"/>
      <c r="E33" s="107"/>
      <c r="F33" s="120">
        <f>SUM(B$29:E33)</f>
        <v>33</v>
      </c>
      <c r="G33" s="595">
        <f t="shared" si="5"/>
        <v>-11</v>
      </c>
      <c r="H33" s="141">
        <f>SUM(I$29:L33)</f>
        <v>44</v>
      </c>
      <c r="I33" s="108">
        <v>8</v>
      </c>
      <c r="J33" s="117"/>
      <c r="K33" s="117"/>
      <c r="L33" s="107"/>
      <c r="N33" s="122">
        <v>5</v>
      </c>
      <c r="O33" s="108">
        <v>2</v>
      </c>
      <c r="P33" s="117"/>
      <c r="Q33" s="117"/>
      <c r="R33" s="107"/>
      <c r="S33" s="120">
        <f>SUM(O$29:R33)</f>
        <v>29</v>
      </c>
      <c r="T33" s="595">
        <f t="shared" si="6"/>
        <v>2</v>
      </c>
      <c r="U33" s="141">
        <f>SUM(V$29:Y33)</f>
        <v>27</v>
      </c>
      <c r="V33" s="108" t="s">
        <v>2</v>
      </c>
      <c r="W33" s="117"/>
      <c r="X33" s="117"/>
      <c r="Y33" s="107"/>
      <c r="AA33" s="122">
        <v>5</v>
      </c>
      <c r="AB33" s="108">
        <v>5</v>
      </c>
      <c r="AC33" s="117"/>
      <c r="AD33" s="117"/>
      <c r="AE33" s="107"/>
      <c r="AF33" s="120">
        <f>SUM(AB$29:AE33)</f>
        <v>42</v>
      </c>
      <c r="AG33" s="595">
        <f t="shared" si="7"/>
        <v>14</v>
      </c>
      <c r="AH33" s="141">
        <f>SUM(AI$29:AL33)</f>
        <v>28</v>
      </c>
      <c r="AI33" s="108">
        <v>3</v>
      </c>
      <c r="AJ33" s="117"/>
      <c r="AK33" s="117"/>
      <c r="AL33" s="107"/>
      <c r="AN33" s="122">
        <v>5</v>
      </c>
      <c r="AO33" s="108">
        <v>9</v>
      </c>
      <c r="AP33" s="117"/>
      <c r="AQ33" s="117"/>
      <c r="AR33" s="107"/>
      <c r="AS33" s="120">
        <f>SUM(AO$29:AR33)</f>
        <v>37</v>
      </c>
      <c r="AT33" s="595">
        <f t="shared" si="8"/>
        <v>-5</v>
      </c>
      <c r="AU33" s="141">
        <f>SUM(AV$29:AY33)</f>
        <v>42</v>
      </c>
      <c r="AV33" s="108">
        <v>5</v>
      </c>
      <c r="AW33" s="117"/>
      <c r="AX33" s="117"/>
      <c r="AY33" s="107"/>
      <c r="BA33" s="122">
        <v>5</v>
      </c>
      <c r="BB33" s="108">
        <v>9</v>
      </c>
      <c r="BC33" s="117"/>
      <c r="BD33" s="117"/>
      <c r="BE33" s="107"/>
      <c r="BF33" s="120">
        <f>SUM(BB$29:BE33)</f>
        <v>34</v>
      </c>
      <c r="BG33" s="595">
        <f t="shared" si="9"/>
        <v>12</v>
      </c>
      <c r="BH33" s="141">
        <f>SUM(BI$29:BL33)</f>
        <v>22</v>
      </c>
      <c r="BI33" s="108" t="s">
        <v>2</v>
      </c>
      <c r="BJ33" s="117"/>
      <c r="BK33" s="117"/>
      <c r="BL33" s="107"/>
    </row>
    <row r="34" spans="1:64" ht="15.75">
      <c r="A34" s="122">
        <v>6</v>
      </c>
      <c r="B34" s="117"/>
      <c r="C34" s="108">
        <v>6</v>
      </c>
      <c r="D34" s="117"/>
      <c r="E34" s="117"/>
      <c r="F34" s="120">
        <f>SUM(B$29:E34)</f>
        <v>39</v>
      </c>
      <c r="G34" s="595">
        <f t="shared" si="5"/>
        <v>-11</v>
      </c>
      <c r="H34" s="141">
        <f>SUM(I$29:L34)</f>
        <v>50</v>
      </c>
      <c r="I34" s="117"/>
      <c r="J34" s="565">
        <v>6</v>
      </c>
      <c r="K34" s="117"/>
      <c r="L34" s="117"/>
      <c r="N34" s="122">
        <v>6</v>
      </c>
      <c r="O34" s="117"/>
      <c r="P34" s="108">
        <v>10</v>
      </c>
      <c r="Q34" s="117"/>
      <c r="R34" s="117"/>
      <c r="S34" s="120">
        <f>SUM(O$29:R34)</f>
        <v>39</v>
      </c>
      <c r="T34" s="595">
        <f t="shared" si="6"/>
        <v>3</v>
      </c>
      <c r="U34" s="141">
        <f>SUM(V$29:Y34)</f>
        <v>36</v>
      </c>
      <c r="V34" s="117"/>
      <c r="W34" s="108">
        <v>9</v>
      </c>
      <c r="X34" s="117"/>
      <c r="Y34" s="117"/>
      <c r="AA34" s="122">
        <v>6</v>
      </c>
      <c r="AB34" s="117"/>
      <c r="AC34" s="108">
        <v>3</v>
      </c>
      <c r="AD34" s="117"/>
      <c r="AE34" s="117"/>
      <c r="AF34" s="120">
        <f>SUM(AB$29:AE34)</f>
        <v>45</v>
      </c>
      <c r="AG34" s="595">
        <f t="shared" si="7"/>
        <v>7</v>
      </c>
      <c r="AH34" s="141">
        <f>SUM(AI$29:AL34)</f>
        <v>38</v>
      </c>
      <c r="AI34" s="117"/>
      <c r="AJ34" s="108">
        <v>10</v>
      </c>
      <c r="AK34" s="117"/>
      <c r="AL34" s="117"/>
      <c r="AN34" s="122">
        <v>6</v>
      </c>
      <c r="AO34" s="117"/>
      <c r="AP34" s="108">
        <v>8</v>
      </c>
      <c r="AQ34" s="117"/>
      <c r="AR34" s="117"/>
      <c r="AS34" s="120">
        <f>SUM(AO$29:AR34)</f>
        <v>45</v>
      </c>
      <c r="AT34" s="595">
        <f t="shared" si="8"/>
        <v>3</v>
      </c>
      <c r="AU34" s="141">
        <f>SUM(AV$29:AY34)</f>
        <v>42</v>
      </c>
      <c r="AV34" s="117"/>
      <c r="AW34" s="108" t="s">
        <v>2</v>
      </c>
      <c r="AX34" s="117"/>
      <c r="AY34" s="117"/>
      <c r="BA34" s="122">
        <v>6</v>
      </c>
      <c r="BB34" s="117"/>
      <c r="BC34" s="108">
        <v>3</v>
      </c>
      <c r="BD34" s="117"/>
      <c r="BE34" s="117"/>
      <c r="BF34" s="120">
        <f>SUM(BB$29:BE34)</f>
        <v>37</v>
      </c>
      <c r="BG34" s="595">
        <f t="shared" si="9"/>
        <v>8</v>
      </c>
      <c r="BH34" s="141">
        <f>SUM(BI$29:BL34)</f>
        <v>29</v>
      </c>
      <c r="BI34" s="117"/>
      <c r="BJ34" s="108">
        <v>7</v>
      </c>
      <c r="BK34" s="117"/>
      <c r="BL34" s="117"/>
    </row>
    <row r="35" spans="1:64" ht="15.75">
      <c r="C35" s="583"/>
      <c r="E35" s="582"/>
      <c r="F35" s="583"/>
      <c r="I35" s="582"/>
      <c r="J35" s="583"/>
      <c r="K35" s="583"/>
      <c r="L35" s="582"/>
      <c r="N35" s="122">
        <v>7</v>
      </c>
      <c r="O35" s="108"/>
      <c r="P35" s="117"/>
      <c r="Q35" s="117">
        <v>7</v>
      </c>
      <c r="R35" s="107"/>
      <c r="S35" s="120">
        <f>SUM(O$29:R35)</f>
        <v>46</v>
      </c>
      <c r="T35" s="595">
        <f t="shared" si="6"/>
        <v>8</v>
      </c>
      <c r="U35" s="141">
        <f>SUM(V$29:Y35)</f>
        <v>38</v>
      </c>
      <c r="V35" s="108"/>
      <c r="W35" s="117"/>
      <c r="X35" s="117">
        <v>2</v>
      </c>
      <c r="Y35" s="107"/>
      <c r="AA35" s="122">
        <v>7</v>
      </c>
      <c r="AB35" s="108"/>
      <c r="AC35" s="117"/>
      <c r="AD35" s="565">
        <v>5</v>
      </c>
      <c r="AE35" s="107"/>
      <c r="AF35" s="120">
        <f>SUM(AB$29:AE35)</f>
        <v>50</v>
      </c>
      <c r="AG35" s="595">
        <f t="shared" si="7"/>
        <v>12</v>
      </c>
      <c r="AH35" s="141">
        <f>SUM(AI$29:AL35)</f>
        <v>38</v>
      </c>
      <c r="AI35" s="108"/>
      <c r="AJ35" s="117"/>
      <c r="AK35" s="117"/>
      <c r="AL35" s="107"/>
      <c r="AN35" s="122">
        <v>7</v>
      </c>
      <c r="AO35" s="108"/>
      <c r="AP35" s="117"/>
      <c r="AQ35" s="117">
        <v>2</v>
      </c>
      <c r="AR35" s="107"/>
      <c r="AS35" s="120">
        <f>SUM(AO$29:AR35)</f>
        <v>47</v>
      </c>
      <c r="AT35" s="595">
        <f t="shared" si="8"/>
        <v>-3</v>
      </c>
      <c r="AU35" s="141">
        <f>SUM(AV$29:AY35)</f>
        <v>50</v>
      </c>
      <c r="AV35" s="108"/>
      <c r="AW35" s="117"/>
      <c r="AX35" s="565">
        <v>8</v>
      </c>
      <c r="AY35" s="107"/>
      <c r="BA35" s="122">
        <v>7</v>
      </c>
      <c r="BB35" s="108"/>
      <c r="BC35" s="117"/>
      <c r="BD35" s="117">
        <v>6</v>
      </c>
      <c r="BE35" s="107"/>
      <c r="BF35" s="120">
        <f>SUM(BB$29:BE35)</f>
        <v>43</v>
      </c>
      <c r="BG35" s="595">
        <f t="shared" si="9"/>
        <v>7</v>
      </c>
      <c r="BH35" s="141">
        <f>SUM(BI$29:BL35)</f>
        <v>36</v>
      </c>
      <c r="BI35" s="108"/>
      <c r="BJ35" s="117"/>
      <c r="BK35" s="117">
        <v>7</v>
      </c>
      <c r="BL35" s="107"/>
    </row>
    <row r="36" spans="1:64" ht="15.75">
      <c r="C36" s="583"/>
      <c r="E36" s="582"/>
      <c r="F36" s="583"/>
      <c r="I36" s="582"/>
      <c r="J36" s="583"/>
      <c r="K36" s="583"/>
      <c r="L36" s="582"/>
      <c r="N36" s="122">
        <v>8</v>
      </c>
      <c r="O36" s="117"/>
      <c r="P36" s="108"/>
      <c r="Q36" s="117"/>
      <c r="R36" s="117" t="s">
        <v>2</v>
      </c>
      <c r="S36" s="120">
        <f>SUM(O$29:R36)</f>
        <v>46</v>
      </c>
      <c r="T36" s="595">
        <f t="shared" si="6"/>
        <v>4</v>
      </c>
      <c r="U36" s="141">
        <f>SUM(V$29:Y36)</f>
        <v>42</v>
      </c>
      <c r="V36" s="117"/>
      <c r="W36" s="108"/>
      <c r="X36" s="117"/>
      <c r="Y36" s="117">
        <v>4</v>
      </c>
      <c r="AC36" s="583"/>
      <c r="AE36" s="582"/>
      <c r="AF36" s="583"/>
      <c r="AI36" s="582"/>
      <c r="AJ36" s="583"/>
      <c r="AK36" s="583"/>
      <c r="AL36" s="582"/>
      <c r="AP36" s="583"/>
      <c r="AR36" s="582"/>
      <c r="AS36" s="583"/>
      <c r="AV36" s="582"/>
      <c r="AW36" s="583"/>
      <c r="AX36" s="583"/>
      <c r="AY36" s="582"/>
      <c r="BA36" s="122">
        <v>8</v>
      </c>
      <c r="BB36" s="117"/>
      <c r="BC36" s="108"/>
      <c r="BD36" s="117"/>
      <c r="BE36" s="565">
        <v>7</v>
      </c>
      <c r="BF36" s="120">
        <f>SUM(BB$29:BE36)</f>
        <v>50</v>
      </c>
      <c r="BG36" s="595">
        <f t="shared" si="9"/>
        <v>14</v>
      </c>
      <c r="BH36" s="141">
        <f>SUM(BI$29:BL36)</f>
        <v>36</v>
      </c>
      <c r="BI36" s="117"/>
      <c r="BJ36" s="108"/>
      <c r="BK36" s="117"/>
      <c r="BL36" s="117"/>
    </row>
    <row r="37" spans="1:64" ht="15.75">
      <c r="C37" s="583"/>
      <c r="E37" s="582"/>
      <c r="F37" s="583"/>
      <c r="I37" s="582"/>
      <c r="J37" s="583"/>
      <c r="K37" s="583"/>
      <c r="L37" s="582"/>
      <c r="N37" s="118">
        <v>9</v>
      </c>
      <c r="O37" s="565">
        <v>4</v>
      </c>
      <c r="P37" s="117"/>
      <c r="Q37" s="117"/>
      <c r="R37" s="107"/>
      <c r="S37" s="120">
        <f>SUM(O$29:R37)</f>
        <v>50</v>
      </c>
      <c r="T37" s="595">
        <f>S37-U37</f>
        <v>8</v>
      </c>
      <c r="U37" s="141">
        <f>SUM(V$29:Y37)</f>
        <v>42</v>
      </c>
      <c r="V37" s="108"/>
      <c r="W37" s="117"/>
      <c r="X37" s="117"/>
      <c r="Y37" s="107"/>
      <c r="AC37" s="583"/>
      <c r="AE37" s="582"/>
      <c r="AF37" s="583"/>
      <c r="AI37" s="582"/>
      <c r="AJ37" s="583"/>
      <c r="AK37" s="583"/>
      <c r="AL37" s="582"/>
      <c r="AP37" s="583"/>
      <c r="AR37" s="582"/>
      <c r="AS37" s="583"/>
      <c r="AV37" s="582"/>
      <c r="AW37" s="583"/>
      <c r="AX37" s="583"/>
      <c r="AY37" s="582"/>
      <c r="BC37" s="583"/>
      <c r="BE37" s="582"/>
      <c r="BF37" s="583"/>
      <c r="BI37" s="582"/>
      <c r="BJ37" s="583"/>
      <c r="BK37" s="583"/>
      <c r="BL37" s="582"/>
    </row>
    <row r="38" spans="1:64">
      <c r="C38" s="583"/>
      <c r="E38" s="582"/>
      <c r="F38" s="583"/>
      <c r="I38" s="582"/>
      <c r="J38" s="583"/>
      <c r="K38" s="583"/>
      <c r="L38" s="582"/>
      <c r="P38" s="583"/>
      <c r="R38" s="582"/>
      <c r="V38" s="582"/>
      <c r="W38" s="583"/>
      <c r="X38" s="583"/>
      <c r="Y38" s="582"/>
      <c r="AC38" s="583"/>
      <c r="AE38" s="582"/>
      <c r="AF38" s="583"/>
      <c r="AI38" s="582"/>
      <c r="AJ38" s="583"/>
      <c r="AK38" s="583"/>
      <c r="AL38" s="582"/>
      <c r="AP38" s="583"/>
      <c r="AR38" s="582"/>
      <c r="AS38" s="583"/>
      <c r="AV38" s="582"/>
      <c r="AW38" s="583"/>
      <c r="AX38" s="583"/>
      <c r="AY38" s="582"/>
      <c r="BC38" s="583"/>
      <c r="BE38" s="582"/>
      <c r="BF38" s="583"/>
      <c r="BI38" s="582"/>
      <c r="BJ38" s="583"/>
      <c r="BK38" s="583"/>
      <c r="BL38" s="582"/>
    </row>
    <row r="39" spans="1:64" ht="15.75">
      <c r="A39" s="126" t="s">
        <v>3</v>
      </c>
      <c r="B39" s="108">
        <f>SUM(B29:B38)</f>
        <v>21</v>
      </c>
      <c r="C39" s="584">
        <f>SUM(C29:C38)</f>
        <v>12</v>
      </c>
      <c r="D39" s="108">
        <f>SUM(D29:D38)</f>
        <v>0</v>
      </c>
      <c r="E39" s="108">
        <f>SUM(E29:E38)</f>
        <v>6</v>
      </c>
      <c r="F39" s="127">
        <f>SUM(B39:E39)</f>
        <v>39</v>
      </c>
      <c r="H39" s="127">
        <f>SUM(I39:L39)</f>
        <v>50</v>
      </c>
      <c r="I39" s="108">
        <f>SUM(I29:I38)</f>
        <v>17</v>
      </c>
      <c r="J39" s="108">
        <f>SUM(J29:J38)</f>
        <v>18</v>
      </c>
      <c r="K39" s="108">
        <f>SUM(K29:K38)</f>
        <v>3</v>
      </c>
      <c r="L39" s="108">
        <f>SUM(L29:L38)</f>
        <v>12</v>
      </c>
      <c r="N39" s="126" t="s">
        <v>3</v>
      </c>
      <c r="O39" s="108">
        <f>SUM(O29:O38)</f>
        <v>15</v>
      </c>
      <c r="P39" s="584">
        <f>SUM(P29:P38)</f>
        <v>19</v>
      </c>
      <c r="Q39" s="108">
        <f>SUM(Q29:Q38)</f>
        <v>14</v>
      </c>
      <c r="R39" s="108">
        <f>SUM(R29:R38)</f>
        <v>2</v>
      </c>
      <c r="S39" s="127">
        <f>SUM(O39:R39)</f>
        <v>50</v>
      </c>
      <c r="U39" s="127">
        <f>SUM(V39:Y39)</f>
        <v>42</v>
      </c>
      <c r="V39" s="108">
        <f>SUM(V29:V38)</f>
        <v>7</v>
      </c>
      <c r="W39" s="108">
        <f>SUM(W29:W38)</f>
        <v>16</v>
      </c>
      <c r="X39" s="108">
        <f>SUM(X29:X38)</f>
        <v>5</v>
      </c>
      <c r="Y39" s="108">
        <f>SUM(Y29:Y38)</f>
        <v>14</v>
      </c>
      <c r="AA39" s="126" t="s">
        <v>3</v>
      </c>
      <c r="AB39" s="108">
        <f>SUM(AB29:AB38)</f>
        <v>17</v>
      </c>
      <c r="AC39" s="584">
        <f>SUM(AC29:AC38)</f>
        <v>15</v>
      </c>
      <c r="AD39" s="108">
        <f>SUM(AD29:AD38)</f>
        <v>11</v>
      </c>
      <c r="AE39" s="108">
        <f>SUM(AE29:AE38)</f>
        <v>7</v>
      </c>
      <c r="AF39" s="127">
        <f>SUM(AB39:AE39)</f>
        <v>50</v>
      </c>
      <c r="AH39" s="127">
        <f>SUM(AI39:AL39)</f>
        <v>38</v>
      </c>
      <c r="AI39" s="108">
        <f>SUM(AI29:AI38)</f>
        <v>15</v>
      </c>
      <c r="AJ39" s="108">
        <f>SUM(AJ29:AJ38)</f>
        <v>10</v>
      </c>
      <c r="AK39" s="108">
        <f>SUM(AK29:AK38)</f>
        <v>2</v>
      </c>
      <c r="AL39" s="108">
        <f>SUM(AL29:AL38)</f>
        <v>11</v>
      </c>
      <c r="AN39" s="126" t="s">
        <v>3</v>
      </c>
      <c r="AO39" s="108">
        <f>SUM(AO29:AO38)</f>
        <v>19</v>
      </c>
      <c r="AP39" s="584">
        <f>SUM(AP29:AP38)</f>
        <v>16</v>
      </c>
      <c r="AQ39" s="108">
        <f>SUM(AQ29:AQ38)</f>
        <v>12</v>
      </c>
      <c r="AR39" s="108">
        <f>SUM(AR29:AR38)</f>
        <v>0</v>
      </c>
      <c r="AS39" s="127">
        <f>SUM(AO39:AR39)</f>
        <v>47</v>
      </c>
      <c r="AU39" s="127">
        <f>SUM(AV39:AY39)</f>
        <v>50</v>
      </c>
      <c r="AV39" s="108">
        <f>SUM(AV29:AV38)</f>
        <v>16</v>
      </c>
      <c r="AW39" s="108">
        <f>SUM(AW29:AW38)</f>
        <v>7</v>
      </c>
      <c r="AX39" s="108">
        <f>SUM(AX29:AX38)</f>
        <v>18</v>
      </c>
      <c r="AY39" s="108">
        <f>SUM(AY29:AY38)</f>
        <v>9</v>
      </c>
      <c r="BA39" s="126" t="s">
        <v>3</v>
      </c>
      <c r="BB39" s="108">
        <f>SUM(BB29:BB38)</f>
        <v>19</v>
      </c>
      <c r="BC39" s="584">
        <f>SUM(BC29:BC38)</f>
        <v>9</v>
      </c>
      <c r="BD39" s="108">
        <f>SUM(BD29:BD38)</f>
        <v>6</v>
      </c>
      <c r="BE39" s="108">
        <f>SUM(BE29:BE38)</f>
        <v>16</v>
      </c>
      <c r="BF39" s="127">
        <f>SUM(BB39:BE39)</f>
        <v>50</v>
      </c>
      <c r="BH39" s="127">
        <f>SUM(BI39:BL39)</f>
        <v>36</v>
      </c>
      <c r="BI39" s="108">
        <f>SUM(BI29:BI38)</f>
        <v>4</v>
      </c>
      <c r="BJ39" s="108">
        <f>SUM(BJ29:BJ38)</f>
        <v>16</v>
      </c>
      <c r="BK39" s="108">
        <f>SUM(BK29:BK38)</f>
        <v>7</v>
      </c>
      <c r="BL39" s="108">
        <f>SUM(BL29:BL38)</f>
        <v>9</v>
      </c>
    </row>
    <row r="40" spans="1:64" ht="15.75">
      <c r="A40" s="128" t="s">
        <v>4</v>
      </c>
      <c r="B40" s="117">
        <f>COUNTA(B29:B38)</f>
        <v>2</v>
      </c>
      <c r="C40" s="117">
        <f>COUNTA(C29:C38)</f>
        <v>2</v>
      </c>
      <c r="D40" s="117">
        <f>COUNTA(D29:D38)</f>
        <v>1</v>
      </c>
      <c r="E40" s="117">
        <f>COUNTA(E29:E38)</f>
        <v>1</v>
      </c>
      <c r="F40" s="127">
        <f>SUM(B40:E40)</f>
        <v>6</v>
      </c>
      <c r="H40" s="127">
        <f>SUM(I40:L40)</f>
        <v>6</v>
      </c>
      <c r="I40" s="117">
        <f>COUNTA(I29:I38)</f>
        <v>2</v>
      </c>
      <c r="J40" s="117">
        <f>COUNTA(J29:J38)</f>
        <v>2</v>
      </c>
      <c r="K40" s="117">
        <f>COUNTA(K29:K38)</f>
        <v>1</v>
      </c>
      <c r="L40" s="117">
        <f>COUNTA(L29:L38)</f>
        <v>1</v>
      </c>
      <c r="N40" s="128" t="s">
        <v>4</v>
      </c>
      <c r="O40" s="117">
        <f>COUNTA(O29:O38)</f>
        <v>3</v>
      </c>
      <c r="P40" s="117">
        <f>COUNTA(P29:P38)</f>
        <v>2</v>
      </c>
      <c r="Q40" s="117">
        <f>COUNTA(Q29:Q38)</f>
        <v>2</v>
      </c>
      <c r="R40" s="117">
        <f>COUNTA(R29:R38)</f>
        <v>2</v>
      </c>
      <c r="S40" s="127">
        <f>SUM(O40:R40)</f>
        <v>9</v>
      </c>
      <c r="U40" s="127">
        <f>SUM(V40:Y40)</f>
        <v>8</v>
      </c>
      <c r="V40" s="117">
        <f>COUNTA(V29:V38)</f>
        <v>2</v>
      </c>
      <c r="W40" s="117">
        <f>COUNTA(W29:W38)</f>
        <v>2</v>
      </c>
      <c r="X40" s="117">
        <f>COUNTA(X29:X38)</f>
        <v>2</v>
      </c>
      <c r="Y40" s="117">
        <f>COUNTA(Y29:Y38)</f>
        <v>2</v>
      </c>
      <c r="AA40" s="128" t="s">
        <v>4</v>
      </c>
      <c r="AB40" s="117">
        <f>COUNTA(AB29:AB38)</f>
        <v>2</v>
      </c>
      <c r="AC40" s="117">
        <f>COUNTA(AC29:AC38)</f>
        <v>2</v>
      </c>
      <c r="AD40" s="117">
        <f>COUNTA(AD29:AD38)</f>
        <v>2</v>
      </c>
      <c r="AE40" s="117">
        <f>COUNTA(AE29:AE38)</f>
        <v>1</v>
      </c>
      <c r="AF40" s="127">
        <f>SUM(AB40:AE40)</f>
        <v>7</v>
      </c>
      <c r="AH40" s="127">
        <f>SUM(AI40:AL40)</f>
        <v>6</v>
      </c>
      <c r="AI40" s="117">
        <f>COUNTA(AI29:AI38)</f>
        <v>2</v>
      </c>
      <c r="AJ40" s="117">
        <f>COUNTA(AJ29:AJ38)</f>
        <v>2</v>
      </c>
      <c r="AK40" s="117">
        <f>COUNTA(AK29:AK38)</f>
        <v>1</v>
      </c>
      <c r="AL40" s="117">
        <f>COUNTA(AL29:AL38)</f>
        <v>1</v>
      </c>
      <c r="AN40" s="128" t="s">
        <v>4</v>
      </c>
      <c r="AO40" s="117">
        <f>COUNTA(AO29:AO38)</f>
        <v>2</v>
      </c>
      <c r="AP40" s="117">
        <f>COUNTA(AP29:AP38)</f>
        <v>2</v>
      </c>
      <c r="AQ40" s="117">
        <f>COUNTA(AQ29:AQ38)</f>
        <v>2</v>
      </c>
      <c r="AR40" s="117">
        <f>COUNTA(AR29:AR38)</f>
        <v>1</v>
      </c>
      <c r="AS40" s="127">
        <f>SUM(AO40:AR40)</f>
        <v>7</v>
      </c>
      <c r="AU40" s="127">
        <f>SUM(AV40:AY40)</f>
        <v>7</v>
      </c>
      <c r="AV40" s="117">
        <f>COUNTA(AV29:AV38)</f>
        <v>2</v>
      </c>
      <c r="AW40" s="117">
        <f>COUNTA(AW29:AW38)</f>
        <v>2</v>
      </c>
      <c r="AX40" s="117">
        <f>COUNTA(AX29:AX38)</f>
        <v>2</v>
      </c>
      <c r="AY40" s="117">
        <f>COUNTA(AY29:AY38)</f>
        <v>1</v>
      </c>
      <c r="BA40" s="128" t="s">
        <v>4</v>
      </c>
      <c r="BB40" s="117">
        <f>COUNTA(BB29:BB38)</f>
        <v>2</v>
      </c>
      <c r="BC40" s="117">
        <f>COUNTA(BC29:BC38)</f>
        <v>2</v>
      </c>
      <c r="BD40" s="117">
        <f>COUNTA(BD29:BD38)</f>
        <v>2</v>
      </c>
      <c r="BE40" s="117">
        <f>COUNTA(BE29:BE38)</f>
        <v>2</v>
      </c>
      <c r="BF40" s="127">
        <f>SUM(BB40:BE40)</f>
        <v>8</v>
      </c>
      <c r="BH40" s="127">
        <f>SUM(BI40:BL40)</f>
        <v>7</v>
      </c>
      <c r="BI40" s="117">
        <f>COUNTA(BI29:BI38)</f>
        <v>2</v>
      </c>
      <c r="BJ40" s="117">
        <f>COUNTA(BJ29:BJ38)</f>
        <v>2</v>
      </c>
      <c r="BK40" s="117">
        <f>COUNTA(BK29:BK38)</f>
        <v>2</v>
      </c>
      <c r="BL40" s="117">
        <f>COUNTA(BL29:BL38)</f>
        <v>1</v>
      </c>
    </row>
    <row r="41" spans="1:64" ht="15.75">
      <c r="A41" s="126" t="s">
        <v>6</v>
      </c>
      <c r="B41" s="584">
        <f>B40-COUNT(B29:B38)</f>
        <v>0</v>
      </c>
      <c r="C41" s="584">
        <f>C40-COUNT(C29:C38)</f>
        <v>0</v>
      </c>
      <c r="D41" s="584">
        <f>D40-COUNT(D29:D38)</f>
        <v>1</v>
      </c>
      <c r="E41" s="584">
        <f>E40-COUNT(E29:E38)</f>
        <v>0</v>
      </c>
      <c r="F41" s="127">
        <f>SUM(B41:E41)</f>
        <v>1</v>
      </c>
      <c r="H41" s="127">
        <f>SUM(I41:L41)</f>
        <v>0</v>
      </c>
      <c r="I41" s="108">
        <f>I40-COUNT(I29:I38)</f>
        <v>0</v>
      </c>
      <c r="J41" s="108">
        <f>J40-COUNT(J29:J38)</f>
        <v>0</v>
      </c>
      <c r="K41" s="108">
        <f>K40-COUNT(K29:K38)</f>
        <v>0</v>
      </c>
      <c r="L41" s="108">
        <f>L40-COUNT(L29:L38)</f>
        <v>0</v>
      </c>
      <c r="N41" s="126" t="s">
        <v>6</v>
      </c>
      <c r="O41" s="584">
        <f>O40-COUNT(O29:O38)</f>
        <v>0</v>
      </c>
      <c r="P41" s="584">
        <f>P40-COUNT(P29:P38)</f>
        <v>0</v>
      </c>
      <c r="Q41" s="584">
        <f>Q40-COUNT(Q29:Q38)</f>
        <v>0</v>
      </c>
      <c r="R41" s="584">
        <f>R40-COUNT(R29:R38)</f>
        <v>1</v>
      </c>
      <c r="S41" s="127">
        <f>SUM(O41:R41)</f>
        <v>1</v>
      </c>
      <c r="U41" s="127">
        <f>SUM(V41:Y41)</f>
        <v>1</v>
      </c>
      <c r="V41" s="108">
        <f>V40-COUNT(V29:V38)</f>
        <v>1</v>
      </c>
      <c r="W41" s="108">
        <f>W40-COUNT(W29:W38)</f>
        <v>0</v>
      </c>
      <c r="X41" s="108">
        <f>X40-COUNT(X29:X38)</f>
        <v>0</v>
      </c>
      <c r="Y41" s="108">
        <f>Y40-COUNT(Y29:Y38)</f>
        <v>0</v>
      </c>
      <c r="AA41" s="126" t="s">
        <v>6</v>
      </c>
      <c r="AB41" s="584">
        <f>AB40-COUNT(AB29:AB38)</f>
        <v>0</v>
      </c>
      <c r="AC41" s="584">
        <f>AC40-COUNT(AC29:AC38)</f>
        <v>0</v>
      </c>
      <c r="AD41" s="584">
        <f>AD40-COUNT(AD29:AD38)</f>
        <v>0</v>
      </c>
      <c r="AE41" s="584">
        <f>AE40-COUNT(AE29:AE38)</f>
        <v>0</v>
      </c>
      <c r="AF41" s="127">
        <f>SUM(AB41:AE41)</f>
        <v>0</v>
      </c>
      <c r="AH41" s="127">
        <f>SUM(AI41:AL41)</f>
        <v>1</v>
      </c>
      <c r="AI41" s="108">
        <f>AI40-COUNT(AI29:AI38)</f>
        <v>0</v>
      </c>
      <c r="AJ41" s="108">
        <f>AJ40-COUNT(AJ29:AJ38)</f>
        <v>1</v>
      </c>
      <c r="AK41" s="108">
        <f>AK40-COUNT(AK29:AK38)</f>
        <v>0</v>
      </c>
      <c r="AL41" s="108">
        <f>AL40-COUNT(AL29:AL38)</f>
        <v>0</v>
      </c>
      <c r="AN41" s="126" t="s">
        <v>6</v>
      </c>
      <c r="AO41" s="584">
        <f>AO40-COUNT(AO29:AO38)</f>
        <v>0</v>
      </c>
      <c r="AP41" s="584">
        <f>AP40-COUNT(AP29:AP38)</f>
        <v>0</v>
      </c>
      <c r="AQ41" s="584">
        <f>AQ40-COUNT(AQ29:AQ38)</f>
        <v>0</v>
      </c>
      <c r="AR41" s="584">
        <f>AR40-COUNT(AR29:AR38)</f>
        <v>1</v>
      </c>
      <c r="AS41" s="127">
        <f>SUM(AO41:AR41)</f>
        <v>1</v>
      </c>
      <c r="AU41" s="127">
        <f>SUM(AV41:AY41)</f>
        <v>1</v>
      </c>
      <c r="AV41" s="108">
        <f>AV40-COUNT(AV29:AV38)</f>
        <v>0</v>
      </c>
      <c r="AW41" s="108">
        <f>AW40-COUNT(AW29:AW38)</f>
        <v>1</v>
      </c>
      <c r="AX41" s="108">
        <f>AX40-COUNT(AX29:AX38)</f>
        <v>0</v>
      </c>
      <c r="AY41" s="108">
        <f>AY40-COUNT(AY29:AY38)</f>
        <v>0</v>
      </c>
      <c r="BA41" s="126" t="s">
        <v>6</v>
      </c>
      <c r="BB41" s="584">
        <f>BB40-COUNT(BB29:BB38)</f>
        <v>0</v>
      </c>
      <c r="BC41" s="584">
        <f>BC40-COUNT(BC29:BC38)</f>
        <v>0</v>
      </c>
      <c r="BD41" s="584">
        <f>BD40-COUNT(BD29:BD38)</f>
        <v>1</v>
      </c>
      <c r="BE41" s="584">
        <f>BE40-COUNT(BE29:BE38)</f>
        <v>0</v>
      </c>
      <c r="BF41" s="127">
        <f>SUM(BB41:BE41)</f>
        <v>1</v>
      </c>
      <c r="BH41" s="127">
        <f>SUM(BI41:BL41)</f>
        <v>2</v>
      </c>
      <c r="BI41" s="108">
        <f>BI40-COUNT(BI29:BI38)</f>
        <v>1</v>
      </c>
      <c r="BJ41" s="108">
        <f>BJ40-COUNT(BJ29:BJ38)</f>
        <v>0</v>
      </c>
      <c r="BK41" s="108">
        <f>BK40-COUNT(BK29:BK38)</f>
        <v>1</v>
      </c>
      <c r="BL41" s="108">
        <f>BL40-COUNT(BL29:BL38)</f>
        <v>0</v>
      </c>
    </row>
    <row r="42" spans="1:64" ht="15.75">
      <c r="A42" s="126" t="s">
        <v>12</v>
      </c>
      <c r="B42" s="129">
        <f>B41/B40</f>
        <v>0</v>
      </c>
      <c r="C42" s="131">
        <f>C41/C40</f>
        <v>0</v>
      </c>
      <c r="D42" s="131">
        <f>D41/D40</f>
        <v>1</v>
      </c>
      <c r="E42" s="131">
        <f>E41/E40</f>
        <v>0</v>
      </c>
      <c r="F42" s="130">
        <f>F41/F40</f>
        <v>0.16666666666666666</v>
      </c>
      <c r="H42" s="130">
        <f>H41/H40</f>
        <v>0</v>
      </c>
      <c r="I42" s="129">
        <f>I41/I40</f>
        <v>0</v>
      </c>
      <c r="J42" s="129">
        <f>J41/J40</f>
        <v>0</v>
      </c>
      <c r="K42" s="129">
        <f>K41/K40</f>
        <v>0</v>
      </c>
      <c r="L42" s="129">
        <f>L41/L40</f>
        <v>0</v>
      </c>
      <c r="N42" s="126" t="s">
        <v>12</v>
      </c>
      <c r="O42" s="129">
        <f>O41/O40</f>
        <v>0</v>
      </c>
      <c r="P42" s="131">
        <f>P41/P40</f>
        <v>0</v>
      </c>
      <c r="Q42" s="131">
        <f>Q41/Q40</f>
        <v>0</v>
      </c>
      <c r="R42" s="131">
        <f>R41/R40</f>
        <v>0.5</v>
      </c>
      <c r="S42" s="130">
        <f>S41/S40</f>
        <v>0.1111111111111111</v>
      </c>
      <c r="U42" s="130">
        <f>U41/U40</f>
        <v>0.125</v>
      </c>
      <c r="V42" s="129">
        <f>V41/V40</f>
        <v>0.5</v>
      </c>
      <c r="W42" s="129">
        <f>W41/W40</f>
        <v>0</v>
      </c>
      <c r="X42" s="129">
        <f>X41/X40</f>
        <v>0</v>
      </c>
      <c r="Y42" s="129">
        <f>Y41/Y40</f>
        <v>0</v>
      </c>
      <c r="AA42" s="126" t="s">
        <v>12</v>
      </c>
      <c r="AB42" s="129">
        <f>AB41/AB40</f>
        <v>0</v>
      </c>
      <c r="AC42" s="131">
        <f>AC41/AC40</f>
        <v>0</v>
      </c>
      <c r="AD42" s="131">
        <f>AD41/AD40</f>
        <v>0</v>
      </c>
      <c r="AE42" s="131">
        <f>AE41/AE40</f>
        <v>0</v>
      </c>
      <c r="AF42" s="130">
        <f>AF41/AF40</f>
        <v>0</v>
      </c>
      <c r="AH42" s="130">
        <f>AH41/AH40</f>
        <v>0.16666666666666666</v>
      </c>
      <c r="AI42" s="129">
        <f>AI41/AI40</f>
        <v>0</v>
      </c>
      <c r="AJ42" s="129">
        <f>AJ41/AJ40</f>
        <v>0.5</v>
      </c>
      <c r="AK42" s="129">
        <f>AK41/AK40</f>
        <v>0</v>
      </c>
      <c r="AL42" s="129">
        <f>AL41/AL40</f>
        <v>0</v>
      </c>
      <c r="AN42" s="126" t="s">
        <v>12</v>
      </c>
      <c r="AO42" s="129">
        <f>AO41/AO40</f>
        <v>0</v>
      </c>
      <c r="AP42" s="131">
        <f>AP41/AP40</f>
        <v>0</v>
      </c>
      <c r="AQ42" s="131">
        <f>AQ41/AQ40</f>
        <v>0</v>
      </c>
      <c r="AR42" s="131">
        <f>AR41/AR40</f>
        <v>1</v>
      </c>
      <c r="AS42" s="130">
        <f>AS41/AS40</f>
        <v>0.14285714285714285</v>
      </c>
      <c r="AU42" s="130">
        <f>AU41/AU40</f>
        <v>0.14285714285714285</v>
      </c>
      <c r="AV42" s="129">
        <f>AV41/AV40</f>
        <v>0</v>
      </c>
      <c r="AW42" s="129">
        <f>AW41/AW40</f>
        <v>0.5</v>
      </c>
      <c r="AX42" s="129">
        <f>AX41/AX40</f>
        <v>0</v>
      </c>
      <c r="AY42" s="129">
        <f>AY41/AY40</f>
        <v>0</v>
      </c>
      <c r="BA42" s="126" t="s">
        <v>12</v>
      </c>
      <c r="BB42" s="129">
        <f>BB41/BB40</f>
        <v>0</v>
      </c>
      <c r="BC42" s="131">
        <f>BC41/BC40</f>
        <v>0</v>
      </c>
      <c r="BD42" s="131">
        <f>BD41/BD40</f>
        <v>0.5</v>
      </c>
      <c r="BE42" s="131">
        <f>BE41/BE40</f>
        <v>0</v>
      </c>
      <c r="BF42" s="130">
        <f>BF41/BF40</f>
        <v>0.125</v>
      </c>
      <c r="BH42" s="130">
        <f>BH41/BH40</f>
        <v>0.2857142857142857</v>
      </c>
      <c r="BI42" s="129">
        <f>BI41/BI40</f>
        <v>0.5</v>
      </c>
      <c r="BJ42" s="129">
        <f>BJ41/BJ40</f>
        <v>0</v>
      </c>
      <c r="BK42" s="129">
        <f>BK41/BK40</f>
        <v>0.5</v>
      </c>
      <c r="BL42" s="129">
        <f>BL41/BL40</f>
        <v>0</v>
      </c>
    </row>
    <row r="43" spans="1:64" ht="15.75">
      <c r="A43" s="126" t="s">
        <v>5</v>
      </c>
      <c r="B43" s="132">
        <f>B39/B40</f>
        <v>10.5</v>
      </c>
      <c r="C43" s="134">
        <f>C39/C40</f>
        <v>6</v>
      </c>
      <c r="D43" s="132">
        <f>D39/D40</f>
        <v>0</v>
      </c>
      <c r="E43" s="132">
        <f>E39/E40</f>
        <v>6</v>
      </c>
      <c r="F43" s="133">
        <f>F39/F40</f>
        <v>6.5</v>
      </c>
      <c r="H43" s="133">
        <f>H39/H40</f>
        <v>8.3333333333333339</v>
      </c>
      <c r="I43" s="132">
        <f>I39/I40</f>
        <v>8.5</v>
      </c>
      <c r="J43" s="132">
        <f>J39/J40</f>
        <v>9</v>
      </c>
      <c r="K43" s="132">
        <f>K39/K40</f>
        <v>3</v>
      </c>
      <c r="L43" s="132">
        <f>L39/L40</f>
        <v>12</v>
      </c>
      <c r="N43" s="126" t="s">
        <v>5</v>
      </c>
      <c r="O43" s="132">
        <f>O39/O40</f>
        <v>5</v>
      </c>
      <c r="P43" s="134">
        <f>P39/P40</f>
        <v>9.5</v>
      </c>
      <c r="Q43" s="132">
        <f>Q39/Q40</f>
        <v>7</v>
      </c>
      <c r="R43" s="132">
        <f>R39/R40</f>
        <v>1</v>
      </c>
      <c r="S43" s="133">
        <f>S39/S40</f>
        <v>5.5555555555555554</v>
      </c>
      <c r="U43" s="133">
        <f>U39/U40</f>
        <v>5.25</v>
      </c>
      <c r="V43" s="132">
        <f>V39/V40</f>
        <v>3.5</v>
      </c>
      <c r="W43" s="132">
        <f>W39/W40</f>
        <v>8</v>
      </c>
      <c r="X43" s="132">
        <f>X39/X40</f>
        <v>2.5</v>
      </c>
      <c r="Y43" s="132">
        <f>Y39/Y40</f>
        <v>7</v>
      </c>
      <c r="AA43" s="126" t="s">
        <v>5</v>
      </c>
      <c r="AB43" s="132">
        <f>AB39/AB40</f>
        <v>8.5</v>
      </c>
      <c r="AC43" s="134">
        <f>AC39/AC40</f>
        <v>7.5</v>
      </c>
      <c r="AD43" s="132">
        <f>AD39/AD40</f>
        <v>5.5</v>
      </c>
      <c r="AE43" s="132">
        <f>AE39/AE40</f>
        <v>7</v>
      </c>
      <c r="AF43" s="133">
        <f>AF39/AF40</f>
        <v>7.1428571428571432</v>
      </c>
      <c r="AH43" s="133">
        <f>AH39/AH40</f>
        <v>6.333333333333333</v>
      </c>
      <c r="AI43" s="132">
        <f>AI39/AI40</f>
        <v>7.5</v>
      </c>
      <c r="AJ43" s="132">
        <f>AJ39/AJ40</f>
        <v>5</v>
      </c>
      <c r="AK43" s="132">
        <f>AK39/AK40</f>
        <v>2</v>
      </c>
      <c r="AL43" s="132">
        <f>AL39/AL40</f>
        <v>11</v>
      </c>
      <c r="AN43" s="126" t="s">
        <v>5</v>
      </c>
      <c r="AO43" s="132">
        <f>AO39/AO40</f>
        <v>9.5</v>
      </c>
      <c r="AP43" s="134">
        <f>AP39/AP40</f>
        <v>8</v>
      </c>
      <c r="AQ43" s="132">
        <f>AQ39/AQ40</f>
        <v>6</v>
      </c>
      <c r="AR43" s="132">
        <f>AR39/AR40</f>
        <v>0</v>
      </c>
      <c r="AS43" s="133">
        <f>AS39/AS40</f>
        <v>6.7142857142857144</v>
      </c>
      <c r="AU43" s="133">
        <f>AU39/AU40</f>
        <v>7.1428571428571432</v>
      </c>
      <c r="AV43" s="132">
        <f>AV39/AV40</f>
        <v>8</v>
      </c>
      <c r="AW43" s="132">
        <f>AW39/AW40</f>
        <v>3.5</v>
      </c>
      <c r="AX43" s="132">
        <f>AX39/AX40</f>
        <v>9</v>
      </c>
      <c r="AY43" s="132">
        <f>AY39/AY40</f>
        <v>9</v>
      </c>
      <c r="BA43" s="126" t="s">
        <v>5</v>
      </c>
      <c r="BB43" s="132">
        <f>BB39/BB40</f>
        <v>9.5</v>
      </c>
      <c r="BC43" s="134">
        <f>BC39/BC40</f>
        <v>4.5</v>
      </c>
      <c r="BD43" s="132">
        <f>BD39/BD40</f>
        <v>3</v>
      </c>
      <c r="BE43" s="132">
        <f>BE39/BE40</f>
        <v>8</v>
      </c>
      <c r="BF43" s="133">
        <f>BF39/BF40</f>
        <v>6.25</v>
      </c>
      <c r="BH43" s="133">
        <f>BH39/BH40</f>
        <v>5.1428571428571432</v>
      </c>
      <c r="BI43" s="132">
        <f>BI39/BI40</f>
        <v>2</v>
      </c>
      <c r="BJ43" s="132">
        <f>BJ39/BJ40</f>
        <v>8</v>
      </c>
      <c r="BK43" s="132">
        <f>BK39/BK40</f>
        <v>3.5</v>
      </c>
      <c r="BL43" s="132">
        <f>BL39/BL40</f>
        <v>9</v>
      </c>
    </row>
    <row r="44" spans="1:64" ht="15.75">
      <c r="A44" s="126" t="s">
        <v>8</v>
      </c>
      <c r="B44" s="132">
        <f>B39/(B40-B41)</f>
        <v>10.5</v>
      </c>
      <c r="C44" s="134">
        <f>C39/(C40-C41)</f>
        <v>6</v>
      </c>
      <c r="D44" s="663">
        <v>0</v>
      </c>
      <c r="E44" s="135">
        <f>E39/(E40-E41)</f>
        <v>6</v>
      </c>
      <c r="F44" s="136">
        <f>F39/(F40-F41)</f>
        <v>7.8</v>
      </c>
      <c r="H44" s="136">
        <f>H39/(H40-H41)</f>
        <v>8.3333333333333339</v>
      </c>
      <c r="I44" s="135">
        <f>I39/(I40-I41)</f>
        <v>8.5</v>
      </c>
      <c r="J44" s="135">
        <f>J39/(J40-J41)</f>
        <v>9</v>
      </c>
      <c r="K44" s="135">
        <f>K39/(K40-K41)</f>
        <v>3</v>
      </c>
      <c r="L44" s="135">
        <f>L39/(L40-L41)</f>
        <v>12</v>
      </c>
      <c r="N44" s="126" t="s">
        <v>8</v>
      </c>
      <c r="O44" s="132">
        <f>O39/(O40-O41)</f>
        <v>5</v>
      </c>
      <c r="P44" s="134">
        <f>P39/(P40-P41)</f>
        <v>9.5</v>
      </c>
      <c r="Q44" s="135">
        <f>Q39/(Q40-Q41)</f>
        <v>7</v>
      </c>
      <c r="R44" s="135">
        <f>R39/(R40-R41)</f>
        <v>2</v>
      </c>
      <c r="S44" s="136">
        <f>S39/(S40-S41)</f>
        <v>6.25</v>
      </c>
      <c r="U44" s="136">
        <f>U39/(U40-U41)</f>
        <v>6</v>
      </c>
      <c r="V44" s="135">
        <f>V39/(V40-V41)</f>
        <v>7</v>
      </c>
      <c r="W44" s="135">
        <f>W39/(W40-W41)</f>
        <v>8</v>
      </c>
      <c r="X44" s="135">
        <f>X39/(X40-X41)</f>
        <v>2.5</v>
      </c>
      <c r="Y44" s="135">
        <f>Y39/(Y40-Y41)</f>
        <v>7</v>
      </c>
      <c r="AA44" s="126" t="s">
        <v>8</v>
      </c>
      <c r="AB44" s="132">
        <f>AB39/(AB40-AB41)</f>
        <v>8.5</v>
      </c>
      <c r="AC44" s="134">
        <f>AC39/(AC40-AC41)</f>
        <v>7.5</v>
      </c>
      <c r="AD44" s="135">
        <f>AD39/(AD40-AD41)</f>
        <v>5.5</v>
      </c>
      <c r="AE44" s="135">
        <f>AE39/(AE40-AE41)</f>
        <v>7</v>
      </c>
      <c r="AF44" s="136">
        <f>AF39/(AF40-AF41)</f>
        <v>7.1428571428571432</v>
      </c>
      <c r="AH44" s="136">
        <f>AH39/(AH40-AH41)</f>
        <v>7.6</v>
      </c>
      <c r="AI44" s="135">
        <f>AI39/(AI40-AI41)</f>
        <v>7.5</v>
      </c>
      <c r="AJ44" s="135">
        <f>AJ39/(AJ40-AJ41)</f>
        <v>10</v>
      </c>
      <c r="AK44" s="135">
        <f>AK39/(AK40-AK41)</f>
        <v>2</v>
      </c>
      <c r="AL44" s="135">
        <f>AL39/(AL40-AL41)</f>
        <v>11</v>
      </c>
      <c r="AN44" s="126" t="s">
        <v>8</v>
      </c>
      <c r="AO44" s="132">
        <f>AO39/(AO40-AO41)</f>
        <v>9.5</v>
      </c>
      <c r="AP44" s="134">
        <f>AP39/(AP40-AP41)</f>
        <v>8</v>
      </c>
      <c r="AQ44" s="135">
        <f>AQ39/(AQ40-AQ41)</f>
        <v>6</v>
      </c>
      <c r="AR44" s="663">
        <v>0</v>
      </c>
      <c r="AS44" s="136">
        <f>AS39/(AS40-AS41)</f>
        <v>7.833333333333333</v>
      </c>
      <c r="AU44" s="136">
        <f>AU39/(AU40-AU41)</f>
        <v>8.3333333333333339</v>
      </c>
      <c r="AV44" s="135">
        <f>AV39/(AV40-AV41)</f>
        <v>8</v>
      </c>
      <c r="AW44" s="135">
        <f>AW39/(AW40-AW41)</f>
        <v>7</v>
      </c>
      <c r="AX44" s="135">
        <f>AX39/(AX40-AX41)</f>
        <v>9</v>
      </c>
      <c r="AY44" s="135">
        <f>AY39/(AY40-AY41)</f>
        <v>9</v>
      </c>
      <c r="BA44" s="126" t="s">
        <v>8</v>
      </c>
      <c r="BB44" s="132">
        <f>BB39/(BB40-BB41)</f>
        <v>9.5</v>
      </c>
      <c r="BC44" s="134">
        <f>BC39/(BC40-BC41)</f>
        <v>4.5</v>
      </c>
      <c r="BD44" s="135">
        <f>BD39/(BD40-BD41)</f>
        <v>6</v>
      </c>
      <c r="BE44" s="135">
        <f>BE39/(BE40-BE41)</f>
        <v>8</v>
      </c>
      <c r="BF44" s="136">
        <f>BF39/(BF40-BF41)</f>
        <v>7.1428571428571432</v>
      </c>
      <c r="BH44" s="136">
        <f>BH39/(BH40-BH41)</f>
        <v>7.2</v>
      </c>
      <c r="BI44" s="135">
        <f>BI39/(BI40-BI41)</f>
        <v>4</v>
      </c>
      <c r="BJ44" s="135">
        <f>BJ39/(BJ40-BJ41)</f>
        <v>8</v>
      </c>
      <c r="BK44" s="135">
        <f>BK39/(BK40-BK41)</f>
        <v>7</v>
      </c>
      <c r="BL44" s="135">
        <f>BL39/(BL40-BL41)</f>
        <v>9</v>
      </c>
    </row>
    <row r="45" spans="1:64" s="111" customFormat="1" ht="15.75">
      <c r="A45" s="648" t="s">
        <v>174</v>
      </c>
      <c r="B45" s="110"/>
      <c r="C45" s="580"/>
      <c r="D45" s="110"/>
      <c r="E45" s="580"/>
      <c r="G45" s="580"/>
      <c r="N45" s="109"/>
      <c r="O45" s="110"/>
      <c r="P45" s="580"/>
      <c r="Q45" s="110"/>
      <c r="R45" s="580"/>
      <c r="S45" s="580"/>
      <c r="T45" s="580"/>
      <c r="AA45" s="109"/>
      <c r="AB45" s="110"/>
      <c r="AC45" s="580"/>
      <c r="AD45" s="110"/>
      <c r="AE45" s="580"/>
      <c r="AG45" s="580"/>
      <c r="AN45" s="109"/>
      <c r="AO45" s="110"/>
      <c r="AP45" s="580"/>
      <c r="AQ45" s="110"/>
      <c r="AR45" s="580"/>
      <c r="AT45" s="580"/>
      <c r="BA45" s="109"/>
      <c r="BB45" s="110"/>
      <c r="BC45" s="580"/>
      <c r="BD45" s="110"/>
      <c r="BE45" s="580"/>
      <c r="BG45" s="580"/>
    </row>
    <row r="46" spans="1:64" ht="15.75">
      <c r="B46" s="1541" t="s">
        <v>144</v>
      </c>
      <c r="C46" s="1541"/>
      <c r="D46" s="1541"/>
      <c r="E46" s="1541"/>
      <c r="I46" s="1544" t="s">
        <v>131</v>
      </c>
      <c r="J46" s="1544"/>
      <c r="K46" s="1544"/>
      <c r="L46" s="1544"/>
      <c r="O46" s="1541" t="s">
        <v>131</v>
      </c>
      <c r="P46" s="1541"/>
      <c r="Q46" s="1541"/>
      <c r="R46" s="1541"/>
      <c r="S46" s="502"/>
      <c r="V46" s="1544" t="s">
        <v>144</v>
      </c>
      <c r="W46" s="1544"/>
      <c r="X46" s="1544"/>
      <c r="Y46" s="1544"/>
      <c r="AB46" s="1544" t="s">
        <v>144</v>
      </c>
      <c r="AC46" s="1544"/>
      <c r="AD46" s="1544"/>
      <c r="AE46" s="1544"/>
      <c r="AI46" s="1541" t="s">
        <v>131</v>
      </c>
      <c r="AJ46" s="1541"/>
      <c r="AK46" s="1541"/>
      <c r="AL46" s="1541"/>
    </row>
    <row r="47" spans="1:64" ht="15.75">
      <c r="B47" s="585">
        <v>1</v>
      </c>
      <c r="C47" s="586">
        <v>2</v>
      </c>
      <c r="D47" s="587">
        <v>3</v>
      </c>
      <c r="E47" s="873">
        <v>4</v>
      </c>
      <c r="F47" s="113">
        <f>IF(COUNTIF(F49:F69,"&gt;37")=0,0,COUNTIF(F49:F69,"&gt;37")-1)</f>
        <v>10</v>
      </c>
      <c r="H47" s="113">
        <f>IF(COUNTIF(H49:H69,"&gt;37")=0,0,COUNTIF(H49:H69,"&gt;37")-1)</f>
        <v>4</v>
      </c>
      <c r="I47" s="588">
        <v>1</v>
      </c>
      <c r="J47" s="589">
        <v>2</v>
      </c>
      <c r="K47" s="590">
        <v>3</v>
      </c>
      <c r="L47" s="874">
        <v>4</v>
      </c>
      <c r="O47" s="585">
        <v>1</v>
      </c>
      <c r="P47" s="586">
        <v>2</v>
      </c>
      <c r="Q47" s="587">
        <v>3</v>
      </c>
      <c r="R47" s="873">
        <v>4</v>
      </c>
      <c r="S47" s="113">
        <f>IF(COUNTIF(S49:S59,"&gt;37")=0,0,COUNTIF(S49:S59,"&gt;37")-1)</f>
        <v>4</v>
      </c>
      <c r="U47" s="113">
        <f>IF(COUNTIF(U49:U59,"&gt;37")=0,0,COUNTIF(U49:U59,"&gt;37")-1)</f>
        <v>1</v>
      </c>
      <c r="V47" s="588">
        <v>1</v>
      </c>
      <c r="W47" s="589">
        <v>2</v>
      </c>
      <c r="X47" s="590">
        <v>3</v>
      </c>
      <c r="Y47" s="874">
        <v>4</v>
      </c>
      <c r="AB47" s="588">
        <v>1</v>
      </c>
      <c r="AC47" s="589">
        <v>2</v>
      </c>
      <c r="AD47" s="590">
        <v>3</v>
      </c>
      <c r="AE47" s="874">
        <v>4</v>
      </c>
      <c r="AF47" s="113">
        <f>IF(COUNTIF(AF49:AF59,"&gt;37")=0,0,COUNTIF(AF49:AF59,"&gt;37")-1)</f>
        <v>2</v>
      </c>
      <c r="AH47" s="113">
        <f>IF(COUNTIF(AH49:AH59,"&gt;37")=0,0,COUNTIF(AH49:AH59,"&gt;37")-1)</f>
        <v>1</v>
      </c>
      <c r="AI47" s="585">
        <v>1</v>
      </c>
      <c r="AJ47" s="586">
        <v>2</v>
      </c>
      <c r="AK47" s="587">
        <v>3</v>
      </c>
      <c r="AL47" s="873">
        <v>4</v>
      </c>
    </row>
    <row r="48" spans="1:64" ht="54">
      <c r="B48" s="592" t="s">
        <v>53</v>
      </c>
      <c r="C48" s="592" t="s">
        <v>136</v>
      </c>
      <c r="D48" s="592" t="s">
        <v>135</v>
      </c>
      <c r="E48" s="592" t="s">
        <v>132</v>
      </c>
      <c r="I48" s="594" t="s">
        <v>9</v>
      </c>
      <c r="J48" s="594" t="s">
        <v>132</v>
      </c>
      <c r="K48" s="594" t="s">
        <v>133</v>
      </c>
      <c r="L48" s="594" t="s">
        <v>134</v>
      </c>
      <c r="O48" s="592" t="s">
        <v>132</v>
      </c>
      <c r="P48" s="592" t="s">
        <v>133</v>
      </c>
      <c r="Q48" s="592" t="s">
        <v>134</v>
      </c>
      <c r="R48" s="592" t="s">
        <v>9</v>
      </c>
      <c r="S48" s="502"/>
      <c r="V48" s="594" t="s">
        <v>137</v>
      </c>
      <c r="W48" s="594" t="s">
        <v>136</v>
      </c>
      <c r="X48" s="594" t="s">
        <v>132</v>
      </c>
      <c r="Y48" s="594" t="s">
        <v>53</v>
      </c>
      <c r="AB48" s="594" t="s">
        <v>53</v>
      </c>
      <c r="AC48" s="594" t="s">
        <v>135</v>
      </c>
      <c r="AD48" s="594" t="s">
        <v>136</v>
      </c>
      <c r="AE48" s="594" t="s">
        <v>132</v>
      </c>
      <c r="AI48" s="592" t="s">
        <v>132</v>
      </c>
      <c r="AJ48" s="592" t="s">
        <v>133</v>
      </c>
      <c r="AK48" s="592" t="s">
        <v>134</v>
      </c>
      <c r="AL48" s="592" t="s">
        <v>9</v>
      </c>
    </row>
    <row r="49" spans="1:38" ht="15.75">
      <c r="A49" s="118">
        <v>1</v>
      </c>
      <c r="B49" s="108">
        <v>11</v>
      </c>
      <c r="C49" s="117"/>
      <c r="D49" s="117"/>
      <c r="E49" s="119"/>
      <c r="F49" s="120">
        <f>SUM(B$49:$E49)</f>
        <v>11</v>
      </c>
      <c r="G49" s="595">
        <f>F49-H49</f>
        <v>3</v>
      </c>
      <c r="H49" s="120">
        <f>SUM(I$49:$L49)</f>
        <v>8</v>
      </c>
      <c r="I49" s="121">
        <v>8</v>
      </c>
      <c r="J49" s="117"/>
      <c r="K49" s="117"/>
      <c r="L49" s="107"/>
      <c r="N49" s="118">
        <v>1</v>
      </c>
      <c r="O49" s="108">
        <v>12</v>
      </c>
      <c r="P49" s="117"/>
      <c r="Q49" s="117"/>
      <c r="R49" s="119"/>
      <c r="S49" s="120">
        <f>SUM($O$49:R49)</f>
        <v>12</v>
      </c>
      <c r="T49" s="595">
        <f>S49-U49</f>
        <v>3</v>
      </c>
      <c r="U49" s="120">
        <f>SUM($V$49:Y49)</f>
        <v>9</v>
      </c>
      <c r="V49" s="121">
        <v>9</v>
      </c>
      <c r="W49" s="117"/>
      <c r="X49" s="117"/>
      <c r="Y49" s="107"/>
      <c r="AA49" s="118">
        <v>1</v>
      </c>
      <c r="AB49" s="108">
        <v>11</v>
      </c>
      <c r="AC49" s="117"/>
      <c r="AD49" s="117"/>
      <c r="AE49" s="119"/>
      <c r="AF49" s="120">
        <f>SUM($AB$49:AE49)</f>
        <v>11</v>
      </c>
      <c r="AG49" s="595">
        <f>AF49-AH49</f>
        <v>5</v>
      </c>
      <c r="AH49" s="120">
        <f>SUM($AI$49:AL49)</f>
        <v>6</v>
      </c>
      <c r="AI49" s="121">
        <v>6</v>
      </c>
      <c r="AJ49" s="117"/>
      <c r="AK49" s="117"/>
      <c r="AL49" s="107"/>
    </row>
    <row r="50" spans="1:38" ht="15.75">
      <c r="A50" s="122">
        <v>2</v>
      </c>
      <c r="B50" s="117"/>
      <c r="C50" s="108" t="s">
        <v>2</v>
      </c>
      <c r="D50" s="117"/>
      <c r="E50" s="114"/>
      <c r="F50" s="120">
        <f>SUM(B$49:$E50)</f>
        <v>11</v>
      </c>
      <c r="G50" s="595">
        <f t="shared" ref="G50:G69" si="10">F50-H50</f>
        <v>3</v>
      </c>
      <c r="H50" s="120">
        <f>SUM(I$49:$L50)</f>
        <v>8</v>
      </c>
      <c r="I50" s="123"/>
      <c r="J50" s="108" t="s">
        <v>2</v>
      </c>
      <c r="K50" s="117"/>
      <c r="L50" s="117"/>
      <c r="N50" s="122">
        <v>2</v>
      </c>
      <c r="O50" s="117"/>
      <c r="P50" s="108">
        <v>6</v>
      </c>
      <c r="Q50" s="117"/>
      <c r="R50" s="114"/>
      <c r="S50" s="120">
        <f>SUM($O$49:R50)</f>
        <v>18</v>
      </c>
      <c r="T50" s="595">
        <f t="shared" ref="T50:T56" si="11">S50-U50</f>
        <v>9</v>
      </c>
      <c r="U50" s="120">
        <f>SUM($V$49:Y50)</f>
        <v>9</v>
      </c>
      <c r="V50" s="123"/>
      <c r="W50" s="108" t="s">
        <v>2</v>
      </c>
      <c r="X50" s="117"/>
      <c r="Y50" s="117"/>
      <c r="AA50" s="122">
        <v>2</v>
      </c>
      <c r="AB50" s="117"/>
      <c r="AC50" s="108">
        <v>6</v>
      </c>
      <c r="AD50" s="117"/>
      <c r="AE50" s="114"/>
      <c r="AF50" s="120">
        <f>SUM($AB$49:AE50)</f>
        <v>17</v>
      </c>
      <c r="AG50" s="595">
        <f t="shared" ref="AG50:AG58" si="12">AF50-AH50</f>
        <v>6</v>
      </c>
      <c r="AH50" s="120">
        <f>SUM($AI$49:AL50)</f>
        <v>11</v>
      </c>
      <c r="AI50" s="123"/>
      <c r="AJ50" s="108">
        <v>5</v>
      </c>
      <c r="AK50" s="117"/>
      <c r="AL50" s="117"/>
    </row>
    <row r="51" spans="1:38" ht="15.75">
      <c r="A51" s="122">
        <v>3</v>
      </c>
      <c r="B51" s="108"/>
      <c r="C51" s="117"/>
      <c r="D51" s="117">
        <v>8</v>
      </c>
      <c r="E51" s="119"/>
      <c r="F51" s="120">
        <f>SUM(B$49:$E51)</f>
        <v>19</v>
      </c>
      <c r="G51" s="595">
        <f t="shared" si="10"/>
        <v>8</v>
      </c>
      <c r="H51" s="120">
        <f>SUM(I$49:$L51)</f>
        <v>11</v>
      </c>
      <c r="I51" s="121"/>
      <c r="J51" s="117"/>
      <c r="K51" s="117">
        <v>3</v>
      </c>
      <c r="L51" s="107"/>
      <c r="N51" s="122">
        <v>3</v>
      </c>
      <c r="O51" s="108"/>
      <c r="P51" s="117"/>
      <c r="Q51" s="117">
        <v>12</v>
      </c>
      <c r="R51" s="119"/>
      <c r="S51" s="120">
        <f>SUM($O$49:R51)</f>
        <v>30</v>
      </c>
      <c r="T51" s="595">
        <f t="shared" si="11"/>
        <v>9</v>
      </c>
      <c r="U51" s="120">
        <f>SUM($V$49:Y51)</f>
        <v>21</v>
      </c>
      <c r="V51" s="121"/>
      <c r="W51" s="117"/>
      <c r="X51" s="117">
        <v>12</v>
      </c>
      <c r="Y51" s="107"/>
      <c r="AA51" s="122">
        <v>3</v>
      </c>
      <c r="AB51" s="108"/>
      <c r="AC51" s="117"/>
      <c r="AD51" s="117" t="s">
        <v>2</v>
      </c>
      <c r="AE51" s="119"/>
      <c r="AF51" s="120">
        <f>SUM($AB$49:AE51)</f>
        <v>17</v>
      </c>
      <c r="AG51" s="595">
        <f t="shared" si="12"/>
        <v>0</v>
      </c>
      <c r="AH51" s="120">
        <f>SUM($AI$49:AL51)</f>
        <v>17</v>
      </c>
      <c r="AI51" s="121"/>
      <c r="AJ51" s="117"/>
      <c r="AK51" s="117">
        <v>6</v>
      </c>
      <c r="AL51" s="107"/>
    </row>
    <row r="52" spans="1:38" ht="15.75">
      <c r="A52" s="122">
        <v>4</v>
      </c>
      <c r="B52" s="117"/>
      <c r="C52" s="108"/>
      <c r="D52" s="117"/>
      <c r="E52" s="114">
        <v>5</v>
      </c>
      <c r="F52" s="120">
        <f>SUM(B$49:$E52)</f>
        <v>24</v>
      </c>
      <c r="G52" s="595">
        <f t="shared" si="10"/>
        <v>9</v>
      </c>
      <c r="H52" s="120">
        <f>SUM(I$49:$L52)</f>
        <v>15</v>
      </c>
      <c r="I52" s="123"/>
      <c r="J52" s="108"/>
      <c r="K52" s="117"/>
      <c r="L52" s="117">
        <v>4</v>
      </c>
      <c r="N52" s="122">
        <v>4</v>
      </c>
      <c r="O52" s="117"/>
      <c r="P52" s="108"/>
      <c r="Q52" s="117"/>
      <c r="R52" s="114">
        <v>12</v>
      </c>
      <c r="S52" s="120">
        <f>SUM($O$49:R52)</f>
        <v>42</v>
      </c>
      <c r="T52" s="595">
        <f t="shared" si="11"/>
        <v>16</v>
      </c>
      <c r="U52" s="120">
        <f>SUM($V$49:Y52)</f>
        <v>26</v>
      </c>
      <c r="V52" s="123"/>
      <c r="W52" s="108"/>
      <c r="X52" s="117"/>
      <c r="Y52" s="117">
        <v>5</v>
      </c>
      <c r="AA52" s="122">
        <v>4</v>
      </c>
      <c r="AB52" s="117"/>
      <c r="AC52" s="108"/>
      <c r="AD52" s="117"/>
      <c r="AE52" s="114">
        <v>5</v>
      </c>
      <c r="AF52" s="120">
        <f>SUM($AB$49:AE52)</f>
        <v>22</v>
      </c>
      <c r="AG52" s="595">
        <f t="shared" si="12"/>
        <v>1</v>
      </c>
      <c r="AH52" s="120">
        <f>SUM($AI$49:AL52)</f>
        <v>21</v>
      </c>
      <c r="AI52" s="123"/>
      <c r="AJ52" s="108"/>
      <c r="AK52" s="117"/>
      <c r="AL52" s="117">
        <v>4</v>
      </c>
    </row>
    <row r="53" spans="1:38" ht="15.75">
      <c r="A53" s="122">
        <v>5</v>
      </c>
      <c r="B53" s="108">
        <v>5</v>
      </c>
      <c r="C53" s="117"/>
      <c r="D53" s="117"/>
      <c r="E53" s="119"/>
      <c r="F53" s="120">
        <f>SUM(B$49:$E53)</f>
        <v>29</v>
      </c>
      <c r="G53" s="595">
        <f t="shared" si="10"/>
        <v>14</v>
      </c>
      <c r="H53" s="120">
        <f>SUM(I$49:$L53)</f>
        <v>15</v>
      </c>
      <c r="I53" s="121" t="s">
        <v>2</v>
      </c>
      <c r="J53" s="117"/>
      <c r="K53" s="117"/>
      <c r="L53" s="107"/>
      <c r="N53" s="122">
        <v>5</v>
      </c>
      <c r="O53" s="108" t="s">
        <v>2</v>
      </c>
      <c r="P53" s="117"/>
      <c r="Q53" s="117"/>
      <c r="R53" s="119"/>
      <c r="S53" s="120">
        <f>SUM($O$49:R53)</f>
        <v>42</v>
      </c>
      <c r="T53" s="595">
        <f t="shared" si="11"/>
        <v>16</v>
      </c>
      <c r="U53" s="120">
        <f>SUM($V$49:Y53)</f>
        <v>26</v>
      </c>
      <c r="V53" s="121" t="s">
        <v>2</v>
      </c>
      <c r="W53" s="117"/>
      <c r="X53" s="117"/>
      <c r="Y53" s="107"/>
      <c r="AA53" s="122">
        <v>5</v>
      </c>
      <c r="AB53" s="108">
        <v>2</v>
      </c>
      <c r="AC53" s="117"/>
      <c r="AD53" s="117"/>
      <c r="AE53" s="119"/>
      <c r="AF53" s="120">
        <f>SUM($AB$49:AE53)</f>
        <v>24</v>
      </c>
      <c r="AG53" s="595">
        <f t="shared" si="12"/>
        <v>1</v>
      </c>
      <c r="AH53" s="120">
        <f>SUM($AI$49:AL53)</f>
        <v>23</v>
      </c>
      <c r="AI53" s="121">
        <v>2</v>
      </c>
      <c r="AJ53" s="117"/>
      <c r="AK53" s="117"/>
      <c r="AL53" s="107"/>
    </row>
    <row r="54" spans="1:38" ht="15.75">
      <c r="A54" s="122">
        <v>6</v>
      </c>
      <c r="B54" s="117"/>
      <c r="C54" s="108">
        <v>4</v>
      </c>
      <c r="D54" s="117"/>
      <c r="E54" s="114"/>
      <c r="F54" s="120">
        <f>SUM(B$49:$E54)</f>
        <v>33</v>
      </c>
      <c r="G54" s="595">
        <f t="shared" si="10"/>
        <v>18</v>
      </c>
      <c r="H54" s="120">
        <f>SUM(I$49:$L54)</f>
        <v>15</v>
      </c>
      <c r="I54" s="123"/>
      <c r="J54" s="108" t="s">
        <v>2</v>
      </c>
      <c r="K54" s="117"/>
      <c r="L54" s="117"/>
      <c r="N54" s="122">
        <v>6</v>
      </c>
      <c r="O54" s="117"/>
      <c r="P54" s="108" t="s">
        <v>2</v>
      </c>
      <c r="Q54" s="117"/>
      <c r="R54" s="114"/>
      <c r="S54" s="120">
        <f>SUM($O$49:R54)</f>
        <v>42</v>
      </c>
      <c r="T54" s="595">
        <f t="shared" si="11"/>
        <v>8</v>
      </c>
      <c r="U54" s="120">
        <f>SUM($V$49:Y54)</f>
        <v>34</v>
      </c>
      <c r="V54" s="123"/>
      <c r="W54" s="108">
        <v>8</v>
      </c>
      <c r="X54" s="117"/>
      <c r="Y54" s="117"/>
      <c r="AA54" s="122">
        <v>6</v>
      </c>
      <c r="AB54" s="117"/>
      <c r="AC54" s="108">
        <v>4</v>
      </c>
      <c r="AD54" s="117"/>
      <c r="AE54" s="114"/>
      <c r="AF54" s="120">
        <f>SUM($AB$49:AE54)</f>
        <v>28</v>
      </c>
      <c r="AG54" s="595">
        <f t="shared" si="12"/>
        <v>-7</v>
      </c>
      <c r="AH54" s="120">
        <f>SUM($AI$49:AL54)</f>
        <v>35</v>
      </c>
      <c r="AI54" s="123"/>
      <c r="AJ54" s="108">
        <v>12</v>
      </c>
      <c r="AK54" s="117"/>
      <c r="AL54" s="117"/>
    </row>
    <row r="55" spans="1:38" ht="15.75">
      <c r="A55" s="122">
        <v>7</v>
      </c>
      <c r="B55" s="108"/>
      <c r="C55" s="117"/>
      <c r="D55" s="117">
        <v>2</v>
      </c>
      <c r="E55" s="119"/>
      <c r="F55" s="120">
        <f>SUM(B$49:$E55)</f>
        <v>35</v>
      </c>
      <c r="G55" s="595">
        <f t="shared" si="10"/>
        <v>16</v>
      </c>
      <c r="H55" s="120">
        <f>SUM(I$49:$L55)</f>
        <v>19</v>
      </c>
      <c r="I55" s="121"/>
      <c r="J55" s="117"/>
      <c r="K55" s="664">
        <v>4</v>
      </c>
      <c r="L55" s="107"/>
      <c r="N55" s="122">
        <v>7</v>
      </c>
      <c r="O55" s="108"/>
      <c r="P55" s="117"/>
      <c r="Q55" s="664">
        <v>4</v>
      </c>
      <c r="R55" s="119"/>
      <c r="S55" s="120">
        <f>SUM($O$49:R55)</f>
        <v>46</v>
      </c>
      <c r="T55" s="595">
        <f t="shared" si="11"/>
        <v>8</v>
      </c>
      <c r="U55" s="120">
        <f>SUM($V$49:Y55)</f>
        <v>38</v>
      </c>
      <c r="V55" s="121"/>
      <c r="W55" s="117"/>
      <c r="X55" s="108">
        <v>4</v>
      </c>
      <c r="Y55" s="107"/>
      <c r="AA55" s="122">
        <v>7</v>
      </c>
      <c r="AB55" s="108"/>
      <c r="AC55" s="117"/>
      <c r="AD55" s="117">
        <v>2</v>
      </c>
      <c r="AE55" s="119"/>
      <c r="AF55" s="120">
        <f>SUM($AB$49:AE55)</f>
        <v>30</v>
      </c>
      <c r="AG55" s="595">
        <f t="shared" si="12"/>
        <v>-11</v>
      </c>
      <c r="AH55" s="120">
        <f>SUM($AI$49:AL55)</f>
        <v>41</v>
      </c>
      <c r="AI55" s="121"/>
      <c r="AJ55" s="117"/>
      <c r="AK55" s="117">
        <v>6</v>
      </c>
      <c r="AL55" s="107"/>
    </row>
    <row r="56" spans="1:38" ht="15.75">
      <c r="A56" s="122">
        <v>8</v>
      </c>
      <c r="B56" s="117"/>
      <c r="C56" s="108"/>
      <c r="D56" s="117"/>
      <c r="E56" s="114">
        <v>2</v>
      </c>
      <c r="F56" s="120">
        <f>SUM(B$49:$E56)</f>
        <v>37</v>
      </c>
      <c r="G56" s="595">
        <f t="shared" si="10"/>
        <v>16</v>
      </c>
      <c r="H56" s="120">
        <f>SUM(I$49:$L56)</f>
        <v>21</v>
      </c>
      <c r="I56" s="123"/>
      <c r="J56" s="108"/>
      <c r="K56" s="117"/>
      <c r="L56" s="107">
        <v>2</v>
      </c>
      <c r="N56" s="122">
        <v>8</v>
      </c>
      <c r="O56" s="117"/>
      <c r="P56" s="108"/>
      <c r="Q56" s="117"/>
      <c r="R56" s="114">
        <v>3</v>
      </c>
      <c r="S56" s="120">
        <f>SUM($O$49:R56)</f>
        <v>49</v>
      </c>
      <c r="T56" s="595">
        <f t="shared" si="11"/>
        <v>-1</v>
      </c>
      <c r="U56" s="120">
        <f>SUM($V$49:Y56)</f>
        <v>50</v>
      </c>
      <c r="V56" s="123"/>
      <c r="W56" s="108"/>
      <c r="X56" s="117"/>
      <c r="Y56" s="565">
        <v>12</v>
      </c>
      <c r="AA56" s="122">
        <v>8</v>
      </c>
      <c r="AB56" s="117"/>
      <c r="AC56" s="108"/>
      <c r="AD56" s="117"/>
      <c r="AE56" s="114">
        <v>10</v>
      </c>
      <c r="AF56" s="120">
        <f>SUM($AB$49:AE56)</f>
        <v>40</v>
      </c>
      <c r="AG56" s="595">
        <f t="shared" si="12"/>
        <v>-6</v>
      </c>
      <c r="AH56" s="120">
        <f>SUM($AI$49:AL56)</f>
        <v>46</v>
      </c>
      <c r="AI56" s="123"/>
      <c r="AJ56" s="108"/>
      <c r="AK56" s="117"/>
      <c r="AL56" s="107">
        <v>5</v>
      </c>
    </row>
    <row r="57" spans="1:38" ht="15.75">
      <c r="A57" s="118">
        <v>9</v>
      </c>
      <c r="B57" s="108">
        <v>3</v>
      </c>
      <c r="C57" s="117"/>
      <c r="D57" s="117"/>
      <c r="E57" s="119"/>
      <c r="F57" s="120">
        <f>SUM(B$49:$E57)</f>
        <v>40</v>
      </c>
      <c r="G57" s="595">
        <f t="shared" si="10"/>
        <v>19</v>
      </c>
      <c r="H57" s="120">
        <f>SUM(I$49:$L57)</f>
        <v>21</v>
      </c>
      <c r="I57" s="121" t="s">
        <v>2</v>
      </c>
      <c r="J57" s="117"/>
      <c r="K57" s="117"/>
      <c r="L57" s="107"/>
      <c r="P57" s="583"/>
      <c r="V57" s="582"/>
      <c r="W57" s="583"/>
      <c r="X57" s="582"/>
      <c r="Y57" s="583"/>
      <c r="AA57" s="118">
        <v>9</v>
      </c>
      <c r="AB57" s="108" t="s">
        <v>2</v>
      </c>
      <c r="AC57" s="117"/>
      <c r="AD57" s="117"/>
      <c r="AE57" s="119"/>
      <c r="AF57" s="120">
        <f>SUM($AB$49:AE57)</f>
        <v>40</v>
      </c>
      <c r="AG57" s="595">
        <f t="shared" si="12"/>
        <v>15</v>
      </c>
      <c r="AH57" s="120">
        <f>SUM($AI$49:AL57)</f>
        <v>25</v>
      </c>
      <c r="AI57" s="665">
        <v>-21</v>
      </c>
      <c r="AJ57" s="117"/>
      <c r="AK57" s="117"/>
      <c r="AL57" s="107"/>
    </row>
    <row r="58" spans="1:38" ht="15.75">
      <c r="A58" s="122">
        <v>10</v>
      </c>
      <c r="B58" s="117"/>
      <c r="C58" s="117">
        <v>2</v>
      </c>
      <c r="D58" s="117"/>
      <c r="E58" s="114"/>
      <c r="F58" s="120">
        <f>SUM(B$49:$E58)</f>
        <v>42</v>
      </c>
      <c r="G58" s="595">
        <f t="shared" si="10"/>
        <v>19</v>
      </c>
      <c r="H58" s="120">
        <f>SUM(I$49:$L58)</f>
        <v>23</v>
      </c>
      <c r="I58" s="123"/>
      <c r="J58" s="108">
        <v>2</v>
      </c>
      <c r="K58" s="117"/>
      <c r="L58" s="117"/>
      <c r="P58" s="583"/>
      <c r="V58" s="582"/>
      <c r="W58" s="583"/>
      <c r="X58" s="582"/>
      <c r="Y58" s="583"/>
      <c r="AA58" s="122">
        <v>10</v>
      </c>
      <c r="AB58" s="117"/>
      <c r="AC58" s="565">
        <v>10</v>
      </c>
      <c r="AD58" s="117"/>
      <c r="AE58" s="114"/>
      <c r="AF58" s="120">
        <f>SUM($AB$49:AE58)</f>
        <v>50</v>
      </c>
      <c r="AG58" s="595">
        <f t="shared" si="12"/>
        <v>25</v>
      </c>
      <c r="AH58" s="120">
        <f>SUM($AI$49:AL58)</f>
        <v>25</v>
      </c>
      <c r="AI58" s="123"/>
      <c r="AJ58" s="108"/>
      <c r="AK58" s="117"/>
      <c r="AL58" s="117"/>
    </row>
    <row r="59" spans="1:38" ht="15.75">
      <c r="A59" s="122">
        <v>11</v>
      </c>
      <c r="B59" s="108"/>
      <c r="C59" s="117"/>
      <c r="D59" s="117" t="s">
        <v>2</v>
      </c>
      <c r="E59" s="119"/>
      <c r="F59" s="120">
        <f>SUM(B$49:$E59)</f>
        <v>42</v>
      </c>
      <c r="G59" s="595">
        <f t="shared" si="10"/>
        <v>17</v>
      </c>
      <c r="H59" s="120">
        <f>SUM(I$49:$L59)</f>
        <v>25</v>
      </c>
      <c r="I59" s="121"/>
      <c r="J59" s="117"/>
      <c r="K59" s="117">
        <v>2</v>
      </c>
      <c r="L59" s="107"/>
      <c r="P59" s="583"/>
      <c r="V59" s="582"/>
      <c r="W59" s="583"/>
      <c r="X59" s="582"/>
      <c r="Y59" s="583"/>
      <c r="AC59" s="583"/>
      <c r="AF59" s="583"/>
      <c r="AI59" s="582"/>
      <c r="AJ59" s="583"/>
      <c r="AK59" s="582"/>
      <c r="AL59" s="583"/>
    </row>
    <row r="60" spans="1:38" ht="15.75">
      <c r="A60" s="118">
        <v>12</v>
      </c>
      <c r="B60" s="108"/>
      <c r="C60" s="117"/>
      <c r="D60" s="117"/>
      <c r="E60" s="119" t="s">
        <v>2</v>
      </c>
      <c r="F60" s="120">
        <f>SUM(B$49:$E60)</f>
        <v>42</v>
      </c>
      <c r="G60" s="595">
        <f>F60-H60</f>
        <v>13</v>
      </c>
      <c r="H60" s="120">
        <f>SUM(I$49:$L60)</f>
        <v>29</v>
      </c>
      <c r="I60" s="121"/>
      <c r="J60" s="117"/>
      <c r="K60" s="117"/>
      <c r="L60" s="107">
        <v>4</v>
      </c>
      <c r="P60" s="583"/>
      <c r="V60" s="582"/>
      <c r="W60" s="583"/>
      <c r="X60" s="582"/>
      <c r="Y60" s="583"/>
      <c r="AC60" s="583"/>
      <c r="AF60" s="583"/>
      <c r="AI60" s="582"/>
      <c r="AJ60" s="583"/>
      <c r="AK60" s="582"/>
      <c r="AL60" s="583"/>
    </row>
    <row r="61" spans="1:38" ht="15.75">
      <c r="A61" s="122">
        <v>13</v>
      </c>
      <c r="B61" s="664">
        <v>2</v>
      </c>
      <c r="C61" s="108"/>
      <c r="D61" s="117"/>
      <c r="E61" s="114"/>
      <c r="F61" s="120">
        <f>SUM(B$49:$E61)</f>
        <v>44</v>
      </c>
      <c r="G61" s="595">
        <f t="shared" si="10"/>
        <v>9</v>
      </c>
      <c r="H61" s="120">
        <f>SUM(I$49:$L61)</f>
        <v>35</v>
      </c>
      <c r="I61" s="123">
        <v>6</v>
      </c>
      <c r="J61" s="108"/>
      <c r="K61" s="117"/>
      <c r="L61" s="117"/>
      <c r="P61" s="583"/>
      <c r="V61" s="582"/>
      <c r="W61" s="583"/>
      <c r="X61" s="582"/>
      <c r="Y61" s="583"/>
      <c r="AC61" s="583"/>
      <c r="AF61" s="583"/>
      <c r="AI61" s="582"/>
      <c r="AJ61" s="583"/>
      <c r="AK61" s="582"/>
      <c r="AL61" s="583"/>
    </row>
    <row r="62" spans="1:38" ht="15.75">
      <c r="A62" s="118">
        <v>14</v>
      </c>
      <c r="B62" s="108"/>
      <c r="C62" s="117">
        <v>2</v>
      </c>
      <c r="D62" s="117"/>
      <c r="E62" s="119"/>
      <c r="F62" s="120">
        <f>SUM(B$49:$E62)</f>
        <v>46</v>
      </c>
      <c r="G62" s="595">
        <f>F62-H62</f>
        <v>5</v>
      </c>
      <c r="H62" s="120">
        <f>SUM(I$49:$L62)</f>
        <v>41</v>
      </c>
      <c r="I62" s="121"/>
      <c r="J62" s="117">
        <v>6</v>
      </c>
      <c r="K62" s="117"/>
      <c r="L62" s="107"/>
      <c r="P62" s="583"/>
      <c r="V62" s="582"/>
      <c r="W62" s="583"/>
      <c r="X62" s="582"/>
      <c r="Y62" s="583"/>
      <c r="AC62" s="583"/>
      <c r="AF62" s="583"/>
      <c r="AI62" s="582"/>
      <c r="AJ62" s="583"/>
      <c r="AK62" s="582"/>
      <c r="AL62" s="583"/>
    </row>
    <row r="63" spans="1:38" ht="15.75">
      <c r="A63" s="122">
        <v>15</v>
      </c>
      <c r="B63" s="117"/>
      <c r="C63" s="108"/>
      <c r="D63" s="117">
        <v>2</v>
      </c>
      <c r="E63" s="114"/>
      <c r="F63" s="120">
        <f>SUM(B$49:$E63)</f>
        <v>48</v>
      </c>
      <c r="G63" s="595">
        <f t="shared" si="10"/>
        <v>23</v>
      </c>
      <c r="H63" s="120">
        <f>SUM(I$49:$L63)</f>
        <v>25</v>
      </c>
      <c r="I63" s="123"/>
      <c r="J63" s="108"/>
      <c r="K63" s="142">
        <v>-16</v>
      </c>
      <c r="L63" s="117"/>
      <c r="P63" s="583"/>
      <c r="V63" s="582"/>
      <c r="W63" s="583"/>
      <c r="X63" s="582"/>
      <c r="Y63" s="583"/>
      <c r="AC63" s="583"/>
      <c r="AF63" s="583"/>
      <c r="AI63" s="582"/>
      <c r="AJ63" s="583"/>
      <c r="AK63" s="582"/>
      <c r="AL63" s="583"/>
    </row>
    <row r="64" spans="1:38" ht="15.75">
      <c r="A64" s="122">
        <v>16</v>
      </c>
      <c r="B64" s="108"/>
      <c r="C64" s="117"/>
      <c r="D64" s="117"/>
      <c r="E64" s="119" t="s">
        <v>2</v>
      </c>
      <c r="F64" s="120">
        <f>SUM(B$49:$E64)</f>
        <v>48</v>
      </c>
      <c r="G64" s="595">
        <f t="shared" si="10"/>
        <v>21</v>
      </c>
      <c r="H64" s="120">
        <f>SUM(I$49:$L64)</f>
        <v>27</v>
      </c>
      <c r="I64" s="121"/>
      <c r="J64" s="117"/>
      <c r="K64" s="117"/>
      <c r="L64" s="107">
        <v>2</v>
      </c>
      <c r="P64" s="583"/>
      <c r="V64" s="582"/>
      <c r="W64" s="583"/>
      <c r="X64" s="582"/>
      <c r="Y64" s="583"/>
      <c r="AC64" s="583"/>
      <c r="AF64" s="583"/>
      <c r="AI64" s="582"/>
      <c r="AJ64" s="583"/>
      <c r="AK64" s="582"/>
      <c r="AL64" s="583"/>
    </row>
    <row r="65" spans="1:38" ht="15.75">
      <c r="A65" s="122">
        <v>17</v>
      </c>
      <c r="B65" s="142">
        <v>-23</v>
      </c>
      <c r="C65" s="108"/>
      <c r="D65" s="117"/>
      <c r="E65" s="114"/>
      <c r="F65" s="120">
        <f>SUM(B$49:$E65)</f>
        <v>25</v>
      </c>
      <c r="G65" s="595">
        <f t="shared" si="10"/>
        <v>-4</v>
      </c>
      <c r="H65" s="120">
        <f>SUM(I$49:$L65)</f>
        <v>29</v>
      </c>
      <c r="I65" s="123">
        <v>2</v>
      </c>
      <c r="J65" s="108"/>
      <c r="K65" s="117"/>
      <c r="L65" s="117"/>
      <c r="P65" s="583"/>
      <c r="V65" s="582"/>
      <c r="W65" s="583"/>
      <c r="X65" s="582"/>
      <c r="Y65" s="583"/>
      <c r="AC65" s="583"/>
      <c r="AF65" s="583"/>
      <c r="AI65" s="582"/>
      <c r="AJ65" s="583"/>
      <c r="AK65" s="582"/>
      <c r="AL65" s="583"/>
    </row>
    <row r="66" spans="1:38" ht="15.75">
      <c r="A66" s="122">
        <v>18</v>
      </c>
      <c r="B66" s="108"/>
      <c r="C66" s="117">
        <v>9</v>
      </c>
      <c r="D66" s="117"/>
      <c r="E66" s="119"/>
      <c r="F66" s="120">
        <f>SUM(B$49:$E66)</f>
        <v>34</v>
      </c>
      <c r="G66" s="595">
        <f t="shared" si="10"/>
        <v>-7</v>
      </c>
      <c r="H66" s="120">
        <f>SUM(I$49:$L66)</f>
        <v>41</v>
      </c>
      <c r="I66" s="121"/>
      <c r="J66" s="117">
        <v>12</v>
      </c>
      <c r="K66" s="117"/>
      <c r="L66" s="107"/>
      <c r="P66" s="583"/>
      <c r="V66" s="582"/>
      <c r="W66" s="583"/>
      <c r="X66" s="582"/>
      <c r="Y66" s="583"/>
      <c r="AC66" s="583"/>
      <c r="AF66" s="583"/>
      <c r="AI66" s="582"/>
      <c r="AJ66" s="583"/>
      <c r="AK66" s="582"/>
      <c r="AL66" s="583"/>
    </row>
    <row r="67" spans="1:38" ht="15.75">
      <c r="A67" s="122">
        <v>19</v>
      </c>
      <c r="B67" s="117"/>
      <c r="C67" s="108"/>
      <c r="D67" s="117">
        <v>6</v>
      </c>
      <c r="E67" s="114"/>
      <c r="F67" s="120">
        <f>SUM(B$49:$E67)</f>
        <v>40</v>
      </c>
      <c r="G67" s="595">
        <f t="shared" si="10"/>
        <v>-1</v>
      </c>
      <c r="H67" s="120">
        <f>SUM(I$49:$L67)</f>
        <v>41</v>
      </c>
      <c r="I67" s="123"/>
      <c r="J67" s="108"/>
      <c r="K67" s="117" t="s">
        <v>2</v>
      </c>
      <c r="L67" s="117"/>
      <c r="P67" s="583"/>
      <c r="V67" s="582"/>
      <c r="W67" s="583"/>
      <c r="X67" s="582"/>
      <c r="Y67" s="583"/>
      <c r="AC67" s="583"/>
      <c r="AF67" s="583"/>
      <c r="AI67" s="582"/>
      <c r="AJ67" s="583"/>
      <c r="AK67" s="582"/>
      <c r="AL67" s="583"/>
    </row>
    <row r="68" spans="1:38" ht="15.75">
      <c r="A68" s="122">
        <v>20</v>
      </c>
      <c r="B68" s="108"/>
      <c r="C68" s="117"/>
      <c r="D68" s="117"/>
      <c r="E68" s="119">
        <v>5</v>
      </c>
      <c r="F68" s="120">
        <f>SUM(B$49:$E68)</f>
        <v>45</v>
      </c>
      <c r="G68" s="595">
        <f t="shared" si="10"/>
        <v>1</v>
      </c>
      <c r="H68" s="120">
        <f>SUM(I$49:$L68)</f>
        <v>44</v>
      </c>
      <c r="I68" s="121"/>
      <c r="J68" s="117"/>
      <c r="K68" s="117"/>
      <c r="L68" s="107">
        <v>3</v>
      </c>
      <c r="P68" s="583"/>
      <c r="V68" s="582"/>
      <c r="W68" s="583"/>
      <c r="X68" s="582"/>
      <c r="Y68" s="583"/>
      <c r="AC68" s="583"/>
      <c r="AF68" s="583"/>
      <c r="AI68" s="582"/>
      <c r="AJ68" s="583"/>
      <c r="AK68" s="582"/>
      <c r="AL68" s="583"/>
    </row>
    <row r="69" spans="1:38" ht="15.75">
      <c r="A69" s="122">
        <v>21</v>
      </c>
      <c r="B69" s="117">
        <v>3</v>
      </c>
      <c r="C69" s="108"/>
      <c r="D69" s="117"/>
      <c r="E69" s="114"/>
      <c r="F69" s="120">
        <f>SUM(B$49:$E69)</f>
        <v>48</v>
      </c>
      <c r="G69" s="595">
        <f t="shared" si="10"/>
        <v>-2</v>
      </c>
      <c r="H69" s="120">
        <f>SUM(I$49:$L69)</f>
        <v>50</v>
      </c>
      <c r="I69" s="1430">
        <v>6</v>
      </c>
      <c r="J69" s="108"/>
      <c r="K69" s="117"/>
      <c r="L69" s="107"/>
      <c r="P69" s="583"/>
      <c r="V69" s="582"/>
      <c r="W69" s="583"/>
      <c r="X69" s="582"/>
      <c r="Y69" s="583"/>
      <c r="AC69" s="583"/>
      <c r="AF69" s="583"/>
      <c r="AI69" s="582"/>
      <c r="AJ69" s="583"/>
      <c r="AK69" s="582"/>
      <c r="AL69" s="583"/>
    </row>
    <row r="70" spans="1:38">
      <c r="C70" s="583"/>
      <c r="F70" s="583"/>
      <c r="I70" s="582"/>
      <c r="J70" s="583"/>
      <c r="K70" s="582"/>
      <c r="L70" s="583"/>
      <c r="P70" s="583"/>
      <c r="V70" s="582"/>
      <c r="W70" s="583"/>
      <c r="X70" s="582"/>
      <c r="Y70" s="583"/>
      <c r="AC70" s="583"/>
      <c r="AF70" s="583"/>
      <c r="AI70" s="582"/>
      <c r="AJ70" s="583"/>
      <c r="AK70" s="582"/>
      <c r="AL70" s="583"/>
    </row>
    <row r="71" spans="1:38" ht="15.75">
      <c r="A71" s="126" t="s">
        <v>3</v>
      </c>
      <c r="B71" s="143">
        <f>SUM(B49:B70)</f>
        <v>1</v>
      </c>
      <c r="C71" s="108">
        <f>SUM(C49:C70)</f>
        <v>17</v>
      </c>
      <c r="D71" s="108">
        <f>SUM(D49:D70)</f>
        <v>18</v>
      </c>
      <c r="E71" s="108">
        <f>SUM(E49:E70)</f>
        <v>12</v>
      </c>
      <c r="F71" s="127">
        <f>MAX(F49:F69)</f>
        <v>48</v>
      </c>
      <c r="H71" s="127">
        <f>MAX(H49:H69)</f>
        <v>50</v>
      </c>
      <c r="I71" s="108">
        <f>SUM(I49:I70)</f>
        <v>22</v>
      </c>
      <c r="J71" s="108">
        <f>SUM(J49:J70)</f>
        <v>20</v>
      </c>
      <c r="K71" s="852">
        <f>SUM(K49:K70)</f>
        <v>-7</v>
      </c>
      <c r="L71" s="108">
        <f>SUM(L49:L70)</f>
        <v>15</v>
      </c>
      <c r="N71" s="126" t="s">
        <v>3</v>
      </c>
      <c r="O71" s="108">
        <f>SUM(O49:O70)</f>
        <v>12</v>
      </c>
      <c r="P71" s="108">
        <f>SUM(P49:P70)</f>
        <v>6</v>
      </c>
      <c r="Q71" s="108">
        <f>SUM(Q49:Q70)</f>
        <v>16</v>
      </c>
      <c r="R71" s="108">
        <f>SUM(R49:R70)</f>
        <v>15</v>
      </c>
      <c r="S71" s="127">
        <f>MAX(S49:S59)</f>
        <v>49</v>
      </c>
      <c r="U71" s="127">
        <f>MAX(U49:U59)</f>
        <v>50</v>
      </c>
      <c r="V71" s="108">
        <f>SUM(V49:V70)</f>
        <v>9</v>
      </c>
      <c r="W71" s="108">
        <f>SUM(W49:W70)</f>
        <v>8</v>
      </c>
      <c r="X71" s="584">
        <f>SUM(X49:X70)</f>
        <v>16</v>
      </c>
      <c r="Y71" s="108">
        <f>SUM(Y49:Y70)</f>
        <v>17</v>
      </c>
      <c r="AA71" s="126" t="s">
        <v>3</v>
      </c>
      <c r="AB71" s="108">
        <f>SUM(AB49:AB70)</f>
        <v>13</v>
      </c>
      <c r="AC71" s="108">
        <f>SUM(AC49:AC70)</f>
        <v>20</v>
      </c>
      <c r="AD71" s="108">
        <f>SUM(AD49:AD70)</f>
        <v>2</v>
      </c>
      <c r="AE71" s="108">
        <f>SUM(AE49:AE70)</f>
        <v>15</v>
      </c>
      <c r="AF71" s="127">
        <f>MAX(AF49:AF59)</f>
        <v>50</v>
      </c>
      <c r="AH71" s="918">
        <v>25</v>
      </c>
      <c r="AI71" s="143">
        <f>SUM(AI49:AI70)</f>
        <v>-13</v>
      </c>
      <c r="AJ71" s="108">
        <f>SUM(AJ49:AJ70)</f>
        <v>17</v>
      </c>
      <c r="AK71" s="584">
        <f>SUM(AK49:AK70)</f>
        <v>12</v>
      </c>
      <c r="AL71" s="108">
        <f>SUM(AL49:AL70)</f>
        <v>9</v>
      </c>
    </row>
    <row r="72" spans="1:38" ht="15.75">
      <c r="A72" s="128" t="s">
        <v>4</v>
      </c>
      <c r="B72" s="117">
        <f>COUNTA(B49:B70)</f>
        <v>6</v>
      </c>
      <c r="C72" s="117">
        <f>COUNTA(C49:C70)</f>
        <v>5</v>
      </c>
      <c r="D72" s="117">
        <f>COUNTA(D49:D70)</f>
        <v>5</v>
      </c>
      <c r="E72" s="117">
        <f>COUNTA(E49:E70)</f>
        <v>5</v>
      </c>
      <c r="F72" s="127">
        <f>SUM(B72:E72)</f>
        <v>21</v>
      </c>
      <c r="H72" s="127">
        <f>SUM(I72:L72)</f>
        <v>21</v>
      </c>
      <c r="I72" s="117">
        <f>COUNTA(I49:I70)</f>
        <v>6</v>
      </c>
      <c r="J72" s="117">
        <f>COUNTA(J49:J70)</f>
        <v>5</v>
      </c>
      <c r="K72" s="117">
        <f>COUNTA(K49:K70)</f>
        <v>5</v>
      </c>
      <c r="L72" s="117">
        <f>COUNTA(L49:L70)</f>
        <v>5</v>
      </c>
      <c r="N72" s="128" t="s">
        <v>4</v>
      </c>
      <c r="O72" s="117">
        <f>COUNTA(O49:O70)</f>
        <v>2</v>
      </c>
      <c r="P72" s="117">
        <f>COUNTA(P49:P70)</f>
        <v>2</v>
      </c>
      <c r="Q72" s="117">
        <f>COUNTA(Q49:Q70)</f>
        <v>2</v>
      </c>
      <c r="R72" s="117">
        <f>COUNTA(R49:R70)</f>
        <v>2</v>
      </c>
      <c r="S72" s="127">
        <f>SUM(O72:R72)</f>
        <v>8</v>
      </c>
      <c r="U72" s="127">
        <f>SUM(V72:Y72)</f>
        <v>8</v>
      </c>
      <c r="V72" s="117">
        <f>COUNTA(V49:V70)</f>
        <v>2</v>
      </c>
      <c r="W72" s="117">
        <f>COUNTA(W49:W70)</f>
        <v>2</v>
      </c>
      <c r="X72" s="117">
        <f>COUNTA(X49:X70)</f>
        <v>2</v>
      </c>
      <c r="Y72" s="117">
        <f>COUNTA(Y49:Y70)</f>
        <v>2</v>
      </c>
      <c r="AA72" s="128" t="s">
        <v>4</v>
      </c>
      <c r="AB72" s="117">
        <f>COUNTA(AB49:AB70)</f>
        <v>3</v>
      </c>
      <c r="AC72" s="117">
        <f>COUNTA(AC49:AC70)</f>
        <v>3</v>
      </c>
      <c r="AD72" s="117">
        <f>COUNTA(AD49:AD70)</f>
        <v>2</v>
      </c>
      <c r="AE72" s="117">
        <f>COUNTA(AE49:AE70)</f>
        <v>2</v>
      </c>
      <c r="AF72" s="127">
        <f>SUM(AB72:AE72)</f>
        <v>10</v>
      </c>
      <c r="AH72" s="127">
        <f>SUM(AI72:AL72)</f>
        <v>9</v>
      </c>
      <c r="AI72" s="117">
        <f>COUNTA(AI49:AI70)</f>
        <v>3</v>
      </c>
      <c r="AJ72" s="117">
        <f>COUNTA(AJ49:AJ70)</f>
        <v>2</v>
      </c>
      <c r="AK72" s="117">
        <f>COUNTA(AK49:AK70)</f>
        <v>2</v>
      </c>
      <c r="AL72" s="117">
        <f>COUNTA(AL49:AL70)</f>
        <v>2</v>
      </c>
    </row>
    <row r="73" spans="1:38" ht="15.75">
      <c r="A73" s="126" t="s">
        <v>6</v>
      </c>
      <c r="B73" s="108">
        <f>B72-COUNT(B49:B70)</f>
        <v>0</v>
      </c>
      <c r="C73" s="108">
        <f>C72-COUNT(C49:C70)</f>
        <v>1</v>
      </c>
      <c r="D73" s="108">
        <f>D72-COUNT(D49:D70)</f>
        <v>1</v>
      </c>
      <c r="E73" s="108">
        <f>E72-COUNT(E49:E70)</f>
        <v>2</v>
      </c>
      <c r="F73" s="127">
        <f>SUM(B73:E73)</f>
        <v>4</v>
      </c>
      <c r="H73" s="127">
        <f>SUM(I73:L73)</f>
        <v>5</v>
      </c>
      <c r="I73" s="584">
        <f>I72-COUNT(I49:I70)</f>
        <v>2</v>
      </c>
      <c r="J73" s="584">
        <f>J72-COUNT(J49:J70)</f>
        <v>2</v>
      </c>
      <c r="K73" s="584">
        <f>K72-COUNT(K49:K70)</f>
        <v>1</v>
      </c>
      <c r="L73" s="108">
        <f>L72-COUNT(L49:L70)</f>
        <v>0</v>
      </c>
      <c r="N73" s="126" t="s">
        <v>6</v>
      </c>
      <c r="O73" s="108">
        <f>O72-COUNT(O49:O70)</f>
        <v>1</v>
      </c>
      <c r="P73" s="108">
        <f>P72-COUNT(P49:P70)</f>
        <v>1</v>
      </c>
      <c r="Q73" s="108">
        <f>Q72-COUNT(Q49:Q70)</f>
        <v>0</v>
      </c>
      <c r="R73" s="108">
        <f>R72-COUNT(R49:R70)</f>
        <v>0</v>
      </c>
      <c r="S73" s="127">
        <f>SUM(O73:R73)</f>
        <v>2</v>
      </c>
      <c r="U73" s="127">
        <f>SUM(V73:Y73)</f>
        <v>2</v>
      </c>
      <c r="V73" s="584">
        <f>V72-COUNT(V49:V70)</f>
        <v>1</v>
      </c>
      <c r="W73" s="584">
        <f>W72-COUNT(W49:W70)</f>
        <v>1</v>
      </c>
      <c r="X73" s="584">
        <f>X72-COUNT(X49:X70)</f>
        <v>0</v>
      </c>
      <c r="Y73" s="108">
        <f>Y72-COUNT(Y49:Y70)</f>
        <v>0</v>
      </c>
      <c r="AA73" s="126" t="s">
        <v>6</v>
      </c>
      <c r="AB73" s="108">
        <f>AB72-COUNT(AB49:AB70)</f>
        <v>1</v>
      </c>
      <c r="AC73" s="108">
        <f>AC72-COUNT(AC49:AC70)</f>
        <v>0</v>
      </c>
      <c r="AD73" s="108">
        <f>AD72-COUNT(AD49:AD70)</f>
        <v>1</v>
      </c>
      <c r="AE73" s="108">
        <f>AE72-COUNT(AE49:AE70)</f>
        <v>0</v>
      </c>
      <c r="AF73" s="127">
        <f>SUM(AB73:AE73)</f>
        <v>2</v>
      </c>
      <c r="AH73" s="127">
        <f>SUM(AI73:AL73)</f>
        <v>0</v>
      </c>
      <c r="AI73" s="584">
        <f>AI72-COUNT(AI49:AI70)</f>
        <v>0</v>
      </c>
      <c r="AJ73" s="584">
        <f>AJ72-COUNT(AJ49:AJ70)</f>
        <v>0</v>
      </c>
      <c r="AK73" s="584">
        <f>AK72-COUNT(AK49:AK70)</f>
        <v>0</v>
      </c>
      <c r="AL73" s="108">
        <f>AL72-COUNT(AL49:AL70)</f>
        <v>0</v>
      </c>
    </row>
    <row r="74" spans="1:38" ht="15.75">
      <c r="A74" s="126" t="s">
        <v>12</v>
      </c>
      <c r="B74" s="129">
        <f>B73/B72</f>
        <v>0</v>
      </c>
      <c r="C74" s="129">
        <f>C73/C72</f>
        <v>0.2</v>
      </c>
      <c r="D74" s="129">
        <f>D73/D72</f>
        <v>0.2</v>
      </c>
      <c r="E74" s="129">
        <f>E73/E72</f>
        <v>0.4</v>
      </c>
      <c r="F74" s="130">
        <f>F73/F72</f>
        <v>0.19047619047619047</v>
      </c>
      <c r="H74" s="130">
        <f>H73/H72</f>
        <v>0.23809523809523808</v>
      </c>
      <c r="I74" s="131">
        <f>I73/I72</f>
        <v>0.33333333333333331</v>
      </c>
      <c r="J74" s="131">
        <f>J73/J72</f>
        <v>0.4</v>
      </c>
      <c r="K74" s="129">
        <f>K73/K72</f>
        <v>0.2</v>
      </c>
      <c r="L74" s="129">
        <f>L73/L72</f>
        <v>0</v>
      </c>
      <c r="N74" s="126" t="s">
        <v>12</v>
      </c>
      <c r="O74" s="129">
        <f>O73/O72</f>
        <v>0.5</v>
      </c>
      <c r="P74" s="129">
        <f>P73/P72</f>
        <v>0.5</v>
      </c>
      <c r="Q74" s="129">
        <f>Q73/Q72</f>
        <v>0</v>
      </c>
      <c r="R74" s="129">
        <f>R73/R72</f>
        <v>0</v>
      </c>
      <c r="S74" s="130">
        <f>S73/S72</f>
        <v>0.25</v>
      </c>
      <c r="U74" s="130">
        <f>U73/U72</f>
        <v>0.25</v>
      </c>
      <c r="V74" s="131">
        <f>V73/V72</f>
        <v>0.5</v>
      </c>
      <c r="W74" s="131">
        <f>W73/W72</f>
        <v>0.5</v>
      </c>
      <c r="X74" s="129">
        <f>X73/X72</f>
        <v>0</v>
      </c>
      <c r="Y74" s="129">
        <f>Y73/Y72</f>
        <v>0</v>
      </c>
      <c r="AA74" s="126" t="s">
        <v>12</v>
      </c>
      <c r="AB74" s="129">
        <f>AB73/AB72</f>
        <v>0.33333333333333331</v>
      </c>
      <c r="AC74" s="129">
        <f>AC73/AC72</f>
        <v>0</v>
      </c>
      <c r="AD74" s="129">
        <f>AD73/AD72</f>
        <v>0.5</v>
      </c>
      <c r="AE74" s="129">
        <f>AE73/AE72</f>
        <v>0</v>
      </c>
      <c r="AF74" s="130">
        <f>AF73/AF72</f>
        <v>0.2</v>
      </c>
      <c r="AH74" s="130">
        <f>AH73/AH72</f>
        <v>0</v>
      </c>
      <c r="AI74" s="131">
        <f>AI73/AI72</f>
        <v>0</v>
      </c>
      <c r="AJ74" s="131">
        <f>AJ73/AJ72</f>
        <v>0</v>
      </c>
      <c r="AK74" s="129">
        <f>AK73/AK72</f>
        <v>0</v>
      </c>
      <c r="AL74" s="129">
        <f>AL73/AL72</f>
        <v>0</v>
      </c>
    </row>
    <row r="75" spans="1:38" ht="15.75">
      <c r="A75" s="126" t="s">
        <v>5</v>
      </c>
      <c r="B75" s="132">
        <f>B71/B72</f>
        <v>0.16666666666666666</v>
      </c>
      <c r="C75" s="132">
        <f>C71/C72</f>
        <v>3.4</v>
      </c>
      <c r="D75" s="132">
        <f>D71/D72</f>
        <v>3.6</v>
      </c>
      <c r="E75" s="132">
        <f>E71/E72</f>
        <v>2.4</v>
      </c>
      <c r="F75" s="133">
        <f>F71/F72</f>
        <v>2.2857142857142856</v>
      </c>
      <c r="H75" s="133">
        <f>H71/H72</f>
        <v>2.3809523809523809</v>
      </c>
      <c r="I75" s="132">
        <f>I71/I72</f>
        <v>3.6666666666666665</v>
      </c>
      <c r="J75" s="132">
        <f>J71/J72</f>
        <v>4</v>
      </c>
      <c r="K75" s="134">
        <f>K71/K72</f>
        <v>-1.4</v>
      </c>
      <c r="L75" s="132">
        <f>L71/L72</f>
        <v>3</v>
      </c>
      <c r="N75" s="126" t="s">
        <v>5</v>
      </c>
      <c r="O75" s="132">
        <f>O71/O72</f>
        <v>6</v>
      </c>
      <c r="P75" s="132">
        <f>P71/P72</f>
        <v>3</v>
      </c>
      <c r="Q75" s="132">
        <f>Q71/Q72</f>
        <v>8</v>
      </c>
      <c r="R75" s="132">
        <f>R71/R72</f>
        <v>7.5</v>
      </c>
      <c r="S75" s="133">
        <f>S71/S72</f>
        <v>6.125</v>
      </c>
      <c r="U75" s="133">
        <f>U71/U72</f>
        <v>6.25</v>
      </c>
      <c r="V75" s="132">
        <f>V71/V72</f>
        <v>4.5</v>
      </c>
      <c r="W75" s="132">
        <f>W71/W72</f>
        <v>4</v>
      </c>
      <c r="X75" s="134">
        <f>X71/X72</f>
        <v>8</v>
      </c>
      <c r="Y75" s="132">
        <f>Y71/Y72</f>
        <v>8.5</v>
      </c>
      <c r="AA75" s="126" t="s">
        <v>5</v>
      </c>
      <c r="AB75" s="132">
        <f>AB71/AB72</f>
        <v>4.333333333333333</v>
      </c>
      <c r="AC75" s="132">
        <f>AC71/AC72</f>
        <v>6.666666666666667</v>
      </c>
      <c r="AD75" s="132">
        <f>AD71/AD72</f>
        <v>1</v>
      </c>
      <c r="AE75" s="132">
        <f>AE71/AE72</f>
        <v>7.5</v>
      </c>
      <c r="AF75" s="133">
        <f>AF71/AF72</f>
        <v>5</v>
      </c>
      <c r="AH75" s="133">
        <f>AH71/AH72</f>
        <v>2.7777777777777777</v>
      </c>
      <c r="AI75" s="132">
        <f>AI71/AI72</f>
        <v>-4.333333333333333</v>
      </c>
      <c r="AJ75" s="132">
        <f>AJ71/AJ72</f>
        <v>8.5</v>
      </c>
      <c r="AK75" s="134">
        <f>AK71/AK72</f>
        <v>6</v>
      </c>
      <c r="AL75" s="132">
        <f>AL71/AL72</f>
        <v>4.5</v>
      </c>
    </row>
    <row r="76" spans="1:38" ht="15.75">
      <c r="A76" s="126" t="s">
        <v>8</v>
      </c>
      <c r="B76" s="135">
        <f>B71/(B72-B73)</f>
        <v>0.16666666666666666</v>
      </c>
      <c r="C76" s="135">
        <f>C71/(C72-C73)</f>
        <v>4.25</v>
      </c>
      <c r="D76" s="135">
        <f>D71/(D72-D73)</f>
        <v>4.5</v>
      </c>
      <c r="E76" s="135">
        <f>E71/(E72-E73)</f>
        <v>4</v>
      </c>
      <c r="F76" s="136">
        <f>F71/(F72-F73)</f>
        <v>2.8235294117647061</v>
      </c>
      <c r="H76" s="136">
        <f>H71/(H72-H73)</f>
        <v>3.125</v>
      </c>
      <c r="I76" s="135">
        <f>I71/(I72-I73)</f>
        <v>5.5</v>
      </c>
      <c r="J76" s="135">
        <f>J71/(J72-J73)</f>
        <v>6.666666666666667</v>
      </c>
      <c r="K76" s="135">
        <f>K71/(K72-K73)</f>
        <v>-1.75</v>
      </c>
      <c r="L76" s="132">
        <f>L71/(L72-L73)</f>
        <v>3</v>
      </c>
      <c r="N76" s="126" t="s">
        <v>8</v>
      </c>
      <c r="O76" s="135">
        <f>O71/(O72-O73)</f>
        <v>12</v>
      </c>
      <c r="P76" s="135">
        <f>P71/(P72-P73)</f>
        <v>6</v>
      </c>
      <c r="Q76" s="135">
        <f>Q71/(Q72-Q73)</f>
        <v>8</v>
      </c>
      <c r="R76" s="135">
        <f>R71/(R72-R73)</f>
        <v>7.5</v>
      </c>
      <c r="S76" s="136">
        <f>S71/(S72-S73)</f>
        <v>8.1666666666666661</v>
      </c>
      <c r="U76" s="136">
        <f>U71/(U72-U73)</f>
        <v>8.3333333333333339</v>
      </c>
      <c r="V76" s="135">
        <f>V71/(V72-V73)</f>
        <v>9</v>
      </c>
      <c r="W76" s="135">
        <f>W71/(W72-W73)</f>
        <v>8</v>
      </c>
      <c r="X76" s="135">
        <f>X71/(X72-X73)</f>
        <v>8</v>
      </c>
      <c r="Y76" s="132">
        <f>Y71/(Y72-Y73)</f>
        <v>8.5</v>
      </c>
      <c r="AA76" s="126" t="s">
        <v>8</v>
      </c>
      <c r="AB76" s="135">
        <f>AB71/(AB72-AB73)</f>
        <v>6.5</v>
      </c>
      <c r="AC76" s="135">
        <f>AC71/(AC72-AC73)</f>
        <v>6.666666666666667</v>
      </c>
      <c r="AD76" s="135">
        <f>AD71/(AD72-AD73)</f>
        <v>2</v>
      </c>
      <c r="AE76" s="135">
        <f>AE71/(AE72-AE73)</f>
        <v>7.5</v>
      </c>
      <c r="AF76" s="136">
        <f>AF71/(AF72-AF73)</f>
        <v>6.25</v>
      </c>
      <c r="AH76" s="136">
        <f>AH71/(AH72-AH73)</f>
        <v>2.7777777777777777</v>
      </c>
      <c r="AI76" s="135">
        <f>AI71/(AI72-AI73)</f>
        <v>-4.333333333333333</v>
      </c>
      <c r="AJ76" s="135">
        <f>AJ71/(AJ72-AJ73)</f>
        <v>8.5</v>
      </c>
      <c r="AK76" s="135">
        <f>AK71/(AK72-AK73)</f>
        <v>6</v>
      </c>
      <c r="AL76" s="132">
        <f>AL71/(AL72-AL73)</f>
        <v>4.5</v>
      </c>
    </row>
    <row r="77" spans="1:38" s="111" customFormat="1" ht="15.75">
      <c r="A77" s="648" t="s">
        <v>175</v>
      </c>
      <c r="B77" s="110"/>
      <c r="C77" s="580"/>
      <c r="D77" s="110"/>
      <c r="E77" s="580"/>
      <c r="G77" s="580"/>
    </row>
    <row r="78" spans="1:38" ht="15.75">
      <c r="A78" s="502"/>
      <c r="B78" s="1544" t="s">
        <v>138</v>
      </c>
      <c r="C78" s="1544"/>
      <c r="D78" s="1544"/>
      <c r="E78" s="1544"/>
      <c r="I78" s="1541" t="s">
        <v>92</v>
      </c>
      <c r="J78" s="1541"/>
      <c r="K78" s="1541"/>
      <c r="L78" s="1541"/>
    </row>
    <row r="79" spans="1:38">
      <c r="B79" s="469">
        <v>1</v>
      </c>
      <c r="C79" s="470">
        <v>2</v>
      </c>
      <c r="D79" s="471">
        <v>3</v>
      </c>
      <c r="E79" s="872">
        <v>4</v>
      </c>
      <c r="F79" s="113">
        <f>IF(COUNTIF(F81:F81,"&gt;37")=0,0,COUNTIF(F81:F81,"&gt;37")-1)</f>
        <v>0</v>
      </c>
      <c r="H79" s="113">
        <f>IF(COUNTIF(H81:H81,"&gt;37")=0,0,COUNTIF(H81:H81,"&gt;37")-1)</f>
        <v>0</v>
      </c>
      <c r="I79" s="585">
        <v>1</v>
      </c>
      <c r="J79" s="586">
        <v>2</v>
      </c>
      <c r="K79" s="587">
        <v>3</v>
      </c>
      <c r="L79" s="873">
        <v>4</v>
      </c>
    </row>
    <row r="80" spans="1:38">
      <c r="A80" s="591"/>
      <c r="B80" s="473"/>
      <c r="C80" s="474"/>
      <c r="D80" s="475"/>
      <c r="E80" s="476"/>
      <c r="F80" s="593"/>
      <c r="G80" s="642"/>
      <c r="H80" s="593"/>
      <c r="I80" s="592"/>
      <c r="J80" s="592"/>
      <c r="K80" s="592"/>
      <c r="L80" s="592"/>
    </row>
    <row r="81" spans="1:38" ht="15.75">
      <c r="A81" s="118">
        <v>1</v>
      </c>
      <c r="B81" s="108"/>
      <c r="C81" s="117"/>
      <c r="D81" s="117"/>
      <c r="E81" s="107"/>
      <c r="F81" s="120">
        <v>50</v>
      </c>
      <c r="G81" s="595">
        <f t="shared" ref="G81" si="13">F81-H81</f>
        <v>50</v>
      </c>
      <c r="H81" s="141">
        <v>0</v>
      </c>
      <c r="I81" s="108" t="s">
        <v>173</v>
      </c>
      <c r="J81" s="117"/>
      <c r="K81" s="117"/>
      <c r="L81" s="107"/>
    </row>
    <row r="82" spans="1:38" s="111" customFormat="1" ht="15.75">
      <c r="A82" s="648" t="s">
        <v>176</v>
      </c>
      <c r="B82" s="110"/>
      <c r="C82" s="580"/>
      <c r="D82" s="110"/>
      <c r="E82" s="580"/>
      <c r="G82" s="580"/>
    </row>
    <row r="83" spans="1:38">
      <c r="B83" s="1540" t="s">
        <v>155</v>
      </c>
      <c r="C83" s="1540"/>
      <c r="D83" s="1540"/>
      <c r="E83" s="1540"/>
      <c r="I83" s="1541" t="s">
        <v>145</v>
      </c>
      <c r="J83" s="1541"/>
      <c r="K83" s="1541"/>
      <c r="L83" s="1541"/>
      <c r="O83" s="1540" t="s">
        <v>145</v>
      </c>
      <c r="P83" s="1540"/>
      <c r="Q83" s="1540"/>
      <c r="R83" s="1540"/>
      <c r="S83" s="502"/>
      <c r="V83" s="1541" t="s">
        <v>155</v>
      </c>
      <c r="W83" s="1541"/>
      <c r="X83" s="1541"/>
      <c r="Y83" s="1541"/>
      <c r="AB83" s="1540" t="s">
        <v>155</v>
      </c>
      <c r="AC83" s="1540"/>
      <c r="AD83" s="1540"/>
      <c r="AE83" s="1540"/>
      <c r="AI83" s="1541" t="s">
        <v>145</v>
      </c>
      <c r="AJ83" s="1541"/>
      <c r="AK83" s="1541"/>
      <c r="AL83" s="1541"/>
    </row>
    <row r="84" spans="1:38" ht="15.75">
      <c r="B84" s="469">
        <v>1</v>
      </c>
      <c r="C84" s="470">
        <v>2</v>
      </c>
      <c r="D84" s="471">
        <v>3</v>
      </c>
      <c r="E84" s="872">
        <v>4</v>
      </c>
      <c r="F84" s="113">
        <f>IF(COUNTIF(F86:F94,"&gt;37")=0,0,COUNTIF(F86:F94,"&gt;37")-1)</f>
        <v>3</v>
      </c>
      <c r="H84" s="918">
        <v>3</v>
      </c>
      <c r="I84" s="585">
        <v>1</v>
      </c>
      <c r="J84" s="586">
        <v>2</v>
      </c>
      <c r="K84" s="587">
        <v>3</v>
      </c>
      <c r="L84" s="873">
        <v>4</v>
      </c>
      <c r="O84" s="469">
        <v>1</v>
      </c>
      <c r="P84" s="470">
        <v>2</v>
      </c>
      <c r="Q84" s="471">
        <v>3</v>
      </c>
      <c r="R84" s="872">
        <v>4</v>
      </c>
      <c r="S84" s="113">
        <f>IF(COUNTIF(S86:S94,"&gt;37")=0,0,COUNTIF(S86:S94,"&gt;37")-1)</f>
        <v>1</v>
      </c>
      <c r="U84" s="113">
        <f>IF(COUNTIF(U86:U94,"&gt;37")=0,0,COUNTIF(U86:U94,"&gt;37")-1)</f>
        <v>0</v>
      </c>
      <c r="V84" s="585">
        <v>1</v>
      </c>
      <c r="W84" s="586">
        <v>2</v>
      </c>
      <c r="X84" s="587">
        <v>3</v>
      </c>
      <c r="Y84" s="873">
        <v>4</v>
      </c>
      <c r="AB84" s="469">
        <v>1</v>
      </c>
      <c r="AC84" s="470">
        <v>2</v>
      </c>
      <c r="AD84" s="471">
        <v>3</v>
      </c>
      <c r="AE84" s="872">
        <v>4</v>
      </c>
      <c r="AF84" s="113">
        <f>IF(COUNTIF(AF86:AF94,"&gt;37")=0,0,COUNTIF(AF86:AF94,"&gt;37")-1)</f>
        <v>3</v>
      </c>
      <c r="AH84" s="918">
        <v>2</v>
      </c>
      <c r="AI84" s="585">
        <v>1</v>
      </c>
      <c r="AJ84" s="586">
        <v>2</v>
      </c>
      <c r="AK84" s="587">
        <v>3</v>
      </c>
      <c r="AL84" s="873">
        <v>4</v>
      </c>
    </row>
    <row r="85" spans="1:38" ht="48.75">
      <c r="B85" s="473" t="s">
        <v>54</v>
      </c>
      <c r="C85" s="474" t="s">
        <v>57</v>
      </c>
      <c r="D85" s="475" t="s">
        <v>115</v>
      </c>
      <c r="E85" s="476" t="s">
        <v>116</v>
      </c>
      <c r="I85" s="592" t="s">
        <v>169</v>
      </c>
      <c r="J85" s="592" t="s">
        <v>164</v>
      </c>
      <c r="K85" s="592" t="s">
        <v>172</v>
      </c>
      <c r="L85" s="592" t="s">
        <v>101</v>
      </c>
      <c r="O85" s="473" t="s">
        <v>169</v>
      </c>
      <c r="P85" s="474" t="s">
        <v>164</v>
      </c>
      <c r="Q85" s="475" t="s">
        <v>172</v>
      </c>
      <c r="R85" s="476" t="s">
        <v>101</v>
      </c>
      <c r="S85" s="502"/>
      <c r="V85" s="592" t="s">
        <v>54</v>
      </c>
      <c r="W85" s="592" t="s">
        <v>57</v>
      </c>
      <c r="X85" s="592" t="s">
        <v>115</v>
      </c>
      <c r="Y85" s="592" t="s">
        <v>116</v>
      </c>
      <c r="AB85" s="473" t="s">
        <v>54</v>
      </c>
      <c r="AC85" s="474" t="s">
        <v>57</v>
      </c>
      <c r="AD85" s="475" t="s">
        <v>115</v>
      </c>
      <c r="AE85" s="476" t="s">
        <v>116</v>
      </c>
      <c r="AI85" s="592" t="s">
        <v>172</v>
      </c>
      <c r="AJ85" s="592" t="s">
        <v>101</v>
      </c>
      <c r="AK85" s="592" t="s">
        <v>169</v>
      </c>
      <c r="AL85" s="592" t="s">
        <v>164</v>
      </c>
    </row>
    <row r="86" spans="1:38" ht="15.75">
      <c r="A86" s="118">
        <v>1</v>
      </c>
      <c r="B86" s="108">
        <v>10</v>
      </c>
      <c r="C86" s="117"/>
      <c r="D86" s="117"/>
      <c r="E86" s="119"/>
      <c r="F86" s="120">
        <f>SUM(B$86:$E86)</f>
        <v>10</v>
      </c>
      <c r="G86" s="595">
        <f>F86-H86</f>
        <v>-1</v>
      </c>
      <c r="H86" s="120">
        <f>SUM(I$86:$L86)</f>
        <v>11</v>
      </c>
      <c r="I86" s="121">
        <v>11</v>
      </c>
      <c r="J86" s="117"/>
      <c r="K86" s="117"/>
      <c r="L86" s="107"/>
      <c r="N86" s="118">
        <v>1</v>
      </c>
      <c r="O86" s="108">
        <v>12</v>
      </c>
      <c r="P86" s="117"/>
      <c r="Q86" s="117"/>
      <c r="R86" s="119"/>
      <c r="S86" s="120">
        <f>SUM($O$86:R86)</f>
        <v>12</v>
      </c>
      <c r="T86" s="595">
        <f>S86-U86</f>
        <v>9</v>
      </c>
      <c r="U86" s="120">
        <f>SUM($V$86:Y86)</f>
        <v>3</v>
      </c>
      <c r="V86" s="121">
        <v>3</v>
      </c>
      <c r="W86" s="117"/>
      <c r="X86" s="117"/>
      <c r="Y86" s="107"/>
      <c r="AA86" s="118">
        <v>1</v>
      </c>
      <c r="AB86" s="108">
        <v>10</v>
      </c>
      <c r="AC86" s="117"/>
      <c r="AD86" s="117"/>
      <c r="AE86" s="119"/>
      <c r="AF86" s="120">
        <f>SUM($AB$86:AE86)</f>
        <v>10</v>
      </c>
      <c r="AG86" s="595">
        <f>AF86-AH86</f>
        <v>2</v>
      </c>
      <c r="AH86" s="120">
        <f>SUM($AI$86:AL86)</f>
        <v>8</v>
      </c>
      <c r="AI86" s="121">
        <v>8</v>
      </c>
      <c r="AJ86" s="117"/>
      <c r="AK86" s="117"/>
      <c r="AL86" s="107"/>
    </row>
    <row r="87" spans="1:38" ht="15.75">
      <c r="A87" s="122">
        <v>2</v>
      </c>
      <c r="B87" s="117"/>
      <c r="C87" s="108">
        <v>11</v>
      </c>
      <c r="D87" s="117"/>
      <c r="E87" s="114"/>
      <c r="F87" s="120">
        <f>SUM(B$86:$E87)</f>
        <v>21</v>
      </c>
      <c r="G87" s="595">
        <f t="shared" ref="G87:G94" si="14">F87-H87</f>
        <v>5</v>
      </c>
      <c r="H87" s="120">
        <f>SUM(I$86:$L87)</f>
        <v>16</v>
      </c>
      <c r="I87" s="123"/>
      <c r="J87" s="108">
        <v>5</v>
      </c>
      <c r="K87" s="117"/>
      <c r="L87" s="117"/>
      <c r="N87" s="122">
        <v>2</v>
      </c>
      <c r="O87" s="117"/>
      <c r="P87" s="108">
        <v>8</v>
      </c>
      <c r="Q87" s="117"/>
      <c r="R87" s="114"/>
      <c r="S87" s="120">
        <f>SUM($O$86:R87)</f>
        <v>20</v>
      </c>
      <c r="T87" s="595">
        <f t="shared" ref="T87:T91" si="15">S87-U87</f>
        <v>5</v>
      </c>
      <c r="U87" s="120">
        <f>SUM($V$86:Y87)</f>
        <v>15</v>
      </c>
      <c r="V87" s="123"/>
      <c r="W87" s="108">
        <v>12</v>
      </c>
      <c r="X87" s="117"/>
      <c r="Y87" s="117"/>
      <c r="AA87" s="122">
        <v>2</v>
      </c>
      <c r="AB87" s="117"/>
      <c r="AC87" s="108">
        <v>4</v>
      </c>
      <c r="AD87" s="117"/>
      <c r="AE87" s="114"/>
      <c r="AF87" s="120">
        <f>SUM($AB$86:AE87)</f>
        <v>14</v>
      </c>
      <c r="AG87" s="595">
        <f t="shared" ref="AG87:AG94" si="16">AF87-AH87</f>
        <v>0</v>
      </c>
      <c r="AH87" s="120">
        <f>SUM($AI$86:AL87)</f>
        <v>14</v>
      </c>
      <c r="AI87" s="123"/>
      <c r="AJ87" s="108">
        <v>6</v>
      </c>
      <c r="AK87" s="117"/>
      <c r="AL87" s="117"/>
    </row>
    <row r="88" spans="1:38" ht="15.75">
      <c r="A88" s="122">
        <v>3</v>
      </c>
      <c r="B88" s="108"/>
      <c r="C88" s="117"/>
      <c r="D88" s="117">
        <v>2</v>
      </c>
      <c r="E88" s="119"/>
      <c r="F88" s="120">
        <f>SUM(B$86:$E88)</f>
        <v>23</v>
      </c>
      <c r="G88" s="595">
        <f t="shared" si="14"/>
        <v>-2</v>
      </c>
      <c r="H88" s="120">
        <f>SUM(I$86:$L88)</f>
        <v>25</v>
      </c>
      <c r="I88" s="121"/>
      <c r="J88" s="117"/>
      <c r="K88" s="117">
        <v>9</v>
      </c>
      <c r="L88" s="107"/>
      <c r="N88" s="122">
        <v>3</v>
      </c>
      <c r="O88" s="108"/>
      <c r="P88" s="117"/>
      <c r="Q88" s="117" t="s">
        <v>2</v>
      </c>
      <c r="R88" s="119"/>
      <c r="S88" s="120">
        <f>SUM($O$86:R88)</f>
        <v>20</v>
      </c>
      <c r="T88" s="595">
        <f t="shared" si="15"/>
        <v>-3</v>
      </c>
      <c r="U88" s="120">
        <f>SUM($V$86:Y88)</f>
        <v>23</v>
      </c>
      <c r="V88" s="121"/>
      <c r="W88" s="117"/>
      <c r="X88" s="117">
        <v>8</v>
      </c>
      <c r="Y88" s="107"/>
      <c r="AA88" s="122">
        <v>3</v>
      </c>
      <c r="AB88" s="108"/>
      <c r="AC88" s="117"/>
      <c r="AD88" s="117">
        <v>11</v>
      </c>
      <c r="AE88" s="119"/>
      <c r="AF88" s="120">
        <f>SUM($AB$86:AE88)</f>
        <v>25</v>
      </c>
      <c r="AG88" s="595">
        <f t="shared" si="16"/>
        <v>0</v>
      </c>
      <c r="AH88" s="120">
        <f>SUM($AI$86:AL88)</f>
        <v>25</v>
      </c>
      <c r="AI88" s="121"/>
      <c r="AJ88" s="117"/>
      <c r="AK88" s="117">
        <v>11</v>
      </c>
      <c r="AL88" s="107"/>
    </row>
    <row r="89" spans="1:38" ht="15.75">
      <c r="A89" s="122">
        <v>4</v>
      </c>
      <c r="B89" s="117"/>
      <c r="C89" s="108"/>
      <c r="D89" s="117"/>
      <c r="E89" s="114">
        <v>4</v>
      </c>
      <c r="F89" s="120">
        <f>SUM(B$86:$E89)</f>
        <v>27</v>
      </c>
      <c r="G89" s="595">
        <f t="shared" si="14"/>
        <v>0</v>
      </c>
      <c r="H89" s="120">
        <f>SUM(I$86:$L89)</f>
        <v>27</v>
      </c>
      <c r="I89" s="123"/>
      <c r="J89" s="108"/>
      <c r="K89" s="117"/>
      <c r="L89" s="117">
        <v>2</v>
      </c>
      <c r="N89" s="122">
        <v>4</v>
      </c>
      <c r="O89" s="117"/>
      <c r="P89" s="108"/>
      <c r="Q89" s="117"/>
      <c r="R89" s="114">
        <v>12</v>
      </c>
      <c r="S89" s="120">
        <f>SUM($O$86:R89)</f>
        <v>32</v>
      </c>
      <c r="T89" s="595">
        <f t="shared" si="15"/>
        <v>-3</v>
      </c>
      <c r="U89" s="120">
        <f>SUM($V$86:Y89)</f>
        <v>35</v>
      </c>
      <c r="V89" s="123"/>
      <c r="W89" s="108"/>
      <c r="X89" s="117"/>
      <c r="Y89" s="117">
        <v>12</v>
      </c>
      <c r="AA89" s="122">
        <v>4</v>
      </c>
      <c r="AB89" s="117"/>
      <c r="AC89" s="108"/>
      <c r="AD89" s="117"/>
      <c r="AE89" s="114">
        <v>3</v>
      </c>
      <c r="AF89" s="120">
        <f>SUM($AB$86:AE89)</f>
        <v>28</v>
      </c>
      <c r="AG89" s="595">
        <f t="shared" si="16"/>
        <v>-1</v>
      </c>
      <c r="AH89" s="120">
        <f>SUM($AI$86:AL89)</f>
        <v>29</v>
      </c>
      <c r="AI89" s="123"/>
      <c r="AJ89" s="108"/>
      <c r="AK89" s="117"/>
      <c r="AL89" s="117">
        <v>4</v>
      </c>
    </row>
    <row r="90" spans="1:38" ht="15.75">
      <c r="A90" s="122">
        <v>5</v>
      </c>
      <c r="B90" s="108" t="s">
        <v>2</v>
      </c>
      <c r="C90" s="117"/>
      <c r="D90" s="117"/>
      <c r="E90" s="119"/>
      <c r="F90" s="120">
        <f>SUM(B$86:$E90)</f>
        <v>27</v>
      </c>
      <c r="G90" s="595">
        <f t="shared" si="14"/>
        <v>-12</v>
      </c>
      <c r="H90" s="120">
        <f>SUM(I$86:$L90)</f>
        <v>39</v>
      </c>
      <c r="I90" s="121">
        <v>12</v>
      </c>
      <c r="J90" s="117"/>
      <c r="K90" s="117"/>
      <c r="L90" s="107"/>
      <c r="N90" s="122">
        <v>5</v>
      </c>
      <c r="O90" s="108">
        <v>12</v>
      </c>
      <c r="P90" s="117"/>
      <c r="Q90" s="117"/>
      <c r="R90" s="119"/>
      <c r="S90" s="120">
        <f>SUM($O$86:R90)</f>
        <v>44</v>
      </c>
      <c r="T90" s="595">
        <f t="shared" si="15"/>
        <v>9</v>
      </c>
      <c r="U90" s="120">
        <f>SUM($V$86:Y90)</f>
        <v>35</v>
      </c>
      <c r="V90" s="121" t="s">
        <v>2</v>
      </c>
      <c r="W90" s="117"/>
      <c r="X90" s="117"/>
      <c r="Y90" s="107"/>
      <c r="AA90" s="122">
        <v>5</v>
      </c>
      <c r="AB90" s="108">
        <v>2</v>
      </c>
      <c r="AC90" s="117"/>
      <c r="AD90" s="117"/>
      <c r="AE90" s="119"/>
      <c r="AF90" s="120">
        <f>SUM($AB$86:AE90)</f>
        <v>30</v>
      </c>
      <c r="AG90" s="595">
        <f t="shared" si="16"/>
        <v>1</v>
      </c>
      <c r="AH90" s="120">
        <f>SUM($AI$86:AL90)</f>
        <v>29</v>
      </c>
      <c r="AI90" s="121" t="s">
        <v>2</v>
      </c>
      <c r="AJ90" s="117"/>
      <c r="AK90" s="117"/>
      <c r="AL90" s="107"/>
    </row>
    <row r="91" spans="1:38" ht="15.75">
      <c r="A91" s="122">
        <v>6</v>
      </c>
      <c r="B91" s="117"/>
      <c r="C91" s="108">
        <v>11</v>
      </c>
      <c r="D91" s="117"/>
      <c r="E91" s="114"/>
      <c r="F91" s="120">
        <f>SUM(B$86:$E91)</f>
        <v>38</v>
      </c>
      <c r="G91" s="595">
        <f t="shared" si="14"/>
        <v>-1</v>
      </c>
      <c r="H91" s="120">
        <f>SUM(I$86:$L91)</f>
        <v>39</v>
      </c>
      <c r="I91" s="123"/>
      <c r="J91" s="108" t="s">
        <v>2</v>
      </c>
      <c r="K91" s="117"/>
      <c r="L91" s="117"/>
      <c r="N91" s="122">
        <v>6</v>
      </c>
      <c r="O91" s="117"/>
      <c r="P91" s="565">
        <v>6</v>
      </c>
      <c r="Q91" s="117"/>
      <c r="R91" s="114"/>
      <c r="S91" s="120">
        <f>SUM($O$86:R91)</f>
        <v>50</v>
      </c>
      <c r="T91" s="595">
        <f t="shared" si="15"/>
        <v>15</v>
      </c>
      <c r="U91" s="120">
        <f>SUM($V$86:Y91)</f>
        <v>35</v>
      </c>
      <c r="V91" s="123"/>
      <c r="W91" s="108"/>
      <c r="X91" s="117"/>
      <c r="Y91" s="117"/>
      <c r="AA91" s="122">
        <v>6</v>
      </c>
      <c r="AB91" s="117"/>
      <c r="AC91" s="108">
        <v>11</v>
      </c>
      <c r="AD91" s="117"/>
      <c r="AE91" s="114"/>
      <c r="AF91" s="120">
        <f>SUM($AB$86:AE91)</f>
        <v>41</v>
      </c>
      <c r="AG91" s="595">
        <f t="shared" si="16"/>
        <v>3</v>
      </c>
      <c r="AH91" s="120">
        <f>SUM($AI$86:AL91)</f>
        <v>38</v>
      </c>
      <c r="AI91" s="123"/>
      <c r="AJ91" s="108">
        <v>9</v>
      </c>
      <c r="AK91" s="117"/>
      <c r="AL91" s="117"/>
    </row>
    <row r="92" spans="1:38" ht="15.75">
      <c r="A92" s="122">
        <v>7</v>
      </c>
      <c r="B92" s="108"/>
      <c r="C92" s="117"/>
      <c r="D92" s="117" t="s">
        <v>2</v>
      </c>
      <c r="E92" s="119"/>
      <c r="F92" s="120">
        <f>SUM(B$86:$E92)</f>
        <v>38</v>
      </c>
      <c r="G92" s="595">
        <f t="shared" si="14"/>
        <v>-1</v>
      </c>
      <c r="H92" s="120">
        <f>SUM(I$86:$L92)</f>
        <v>39</v>
      </c>
      <c r="I92" s="121"/>
      <c r="J92" s="117"/>
      <c r="K92" s="117" t="s">
        <v>2</v>
      </c>
      <c r="L92" s="107"/>
      <c r="P92" s="583"/>
      <c r="V92" s="582"/>
      <c r="W92" s="583"/>
      <c r="X92" s="582"/>
      <c r="Y92" s="583"/>
      <c r="AA92" s="122">
        <v>7</v>
      </c>
      <c r="AB92" s="108"/>
      <c r="AC92" s="117"/>
      <c r="AD92" s="117">
        <v>2</v>
      </c>
      <c r="AE92" s="119"/>
      <c r="AF92" s="120">
        <f>SUM($AB$86:AE92)</f>
        <v>43</v>
      </c>
      <c r="AG92" s="595">
        <f t="shared" si="16"/>
        <v>3</v>
      </c>
      <c r="AH92" s="120">
        <f>SUM($AI$86:AL92)</f>
        <v>40</v>
      </c>
      <c r="AI92" s="121"/>
      <c r="AJ92" s="117"/>
      <c r="AK92" s="117">
        <v>2</v>
      </c>
      <c r="AL92" s="107"/>
    </row>
    <row r="93" spans="1:38" ht="15.75">
      <c r="A93" s="122">
        <v>8</v>
      </c>
      <c r="B93" s="117"/>
      <c r="C93" s="108"/>
      <c r="D93" s="117"/>
      <c r="E93" s="114">
        <v>6</v>
      </c>
      <c r="F93" s="120">
        <f>SUM(B$86:$E93)</f>
        <v>44</v>
      </c>
      <c r="G93" s="595">
        <f t="shared" si="14"/>
        <v>3</v>
      </c>
      <c r="H93" s="120">
        <f>SUM(I$86:$L93)</f>
        <v>41</v>
      </c>
      <c r="I93" s="123"/>
      <c r="J93" s="108"/>
      <c r="K93" s="117"/>
      <c r="L93" s="666">
        <v>2</v>
      </c>
      <c r="P93" s="583"/>
      <c r="V93" s="582"/>
      <c r="W93" s="583"/>
      <c r="X93" s="582"/>
      <c r="Y93" s="583"/>
      <c r="AA93" s="122">
        <v>8</v>
      </c>
      <c r="AB93" s="117"/>
      <c r="AC93" s="108"/>
      <c r="AD93" s="117"/>
      <c r="AE93" s="114">
        <v>4</v>
      </c>
      <c r="AF93" s="120">
        <f>SUM($AB$86:AE93)</f>
        <v>47</v>
      </c>
      <c r="AG93" s="595">
        <f t="shared" si="16"/>
        <v>7</v>
      </c>
      <c r="AH93" s="120">
        <f>SUM($AI$86:AL93)</f>
        <v>40</v>
      </c>
      <c r="AI93" s="123"/>
      <c r="AJ93" s="108"/>
      <c r="AK93" s="117"/>
      <c r="AL93" s="107" t="s">
        <v>2</v>
      </c>
    </row>
    <row r="94" spans="1:38" ht="15.75">
      <c r="A94" s="118">
        <v>9</v>
      </c>
      <c r="B94" s="565">
        <v>6</v>
      </c>
      <c r="C94" s="117"/>
      <c r="D94" s="117"/>
      <c r="E94" s="119"/>
      <c r="F94" s="120">
        <f>SUM(B$86:$E94)</f>
        <v>50</v>
      </c>
      <c r="G94" s="595">
        <f t="shared" si="14"/>
        <v>9</v>
      </c>
      <c r="H94" s="120">
        <f>SUM(I$86:$L94)</f>
        <v>41</v>
      </c>
      <c r="I94" s="121"/>
      <c r="J94" s="117"/>
      <c r="K94" s="117"/>
      <c r="L94" s="107"/>
      <c r="P94" s="583"/>
      <c r="V94" s="582"/>
      <c r="W94" s="583"/>
      <c r="X94" s="582"/>
      <c r="Y94" s="583"/>
      <c r="AA94" s="118">
        <v>9</v>
      </c>
      <c r="AB94" s="565">
        <v>3</v>
      </c>
      <c r="AC94" s="117"/>
      <c r="AD94" s="117"/>
      <c r="AE94" s="119"/>
      <c r="AF94" s="120">
        <f>SUM($AB$86:AE94)</f>
        <v>50</v>
      </c>
      <c r="AG94" s="595">
        <f t="shared" si="16"/>
        <v>10</v>
      </c>
      <c r="AH94" s="120">
        <f>SUM($AI$86:AL94)</f>
        <v>40</v>
      </c>
      <c r="AI94" s="121"/>
      <c r="AJ94" s="117"/>
      <c r="AK94" s="117"/>
      <c r="AL94" s="107"/>
    </row>
    <row r="95" spans="1:38">
      <c r="C95" s="583"/>
      <c r="F95" s="583"/>
      <c r="I95" s="582"/>
      <c r="J95" s="583"/>
      <c r="K95" s="582"/>
      <c r="L95" s="583"/>
      <c r="P95" s="583"/>
      <c r="V95" s="582"/>
      <c r="W95" s="583"/>
      <c r="X95" s="582"/>
      <c r="Y95" s="583"/>
      <c r="AC95" s="583"/>
      <c r="AF95" s="583"/>
      <c r="AI95" s="582"/>
      <c r="AJ95" s="583"/>
      <c r="AK95" s="582"/>
      <c r="AL95" s="583"/>
    </row>
    <row r="96" spans="1:38" ht="15.75">
      <c r="A96" s="126" t="s">
        <v>3</v>
      </c>
      <c r="B96" s="108">
        <f>SUM(B86:B95)</f>
        <v>16</v>
      </c>
      <c r="C96" s="108">
        <f>SUM(C86:C95)</f>
        <v>22</v>
      </c>
      <c r="D96" s="108">
        <f>SUM(D86:D95)</f>
        <v>2</v>
      </c>
      <c r="E96" s="108">
        <f>SUM(E86:E95)</f>
        <v>10</v>
      </c>
      <c r="F96" s="127">
        <f>MAX(F86:F94)</f>
        <v>50</v>
      </c>
      <c r="H96" s="127">
        <f>MAX(H86:H94)</f>
        <v>41</v>
      </c>
      <c r="I96" s="108">
        <f>SUM(I86:I95)</f>
        <v>23</v>
      </c>
      <c r="J96" s="108">
        <f>SUM(J86:J95)</f>
        <v>5</v>
      </c>
      <c r="K96" s="584">
        <f>SUM(K86:K95)</f>
        <v>9</v>
      </c>
      <c r="L96" s="108">
        <f>SUM(L86:L95)</f>
        <v>4</v>
      </c>
      <c r="N96" s="126" t="s">
        <v>3</v>
      </c>
      <c r="O96" s="108">
        <f>SUM(O86:O95)</f>
        <v>24</v>
      </c>
      <c r="P96" s="108">
        <f>SUM(P86:P95)</f>
        <v>14</v>
      </c>
      <c r="Q96" s="108">
        <f>SUM(Q86:Q95)</f>
        <v>0</v>
      </c>
      <c r="R96" s="108">
        <f>SUM(R86:R95)</f>
        <v>12</v>
      </c>
      <c r="S96" s="127">
        <f>MAX(S86:S94)</f>
        <v>50</v>
      </c>
      <c r="U96" s="127">
        <f>MAX(U86:U94)</f>
        <v>35</v>
      </c>
      <c r="V96" s="108">
        <f>SUM(V86:V95)</f>
        <v>3</v>
      </c>
      <c r="W96" s="108">
        <f>SUM(W86:W95)</f>
        <v>12</v>
      </c>
      <c r="X96" s="584">
        <f>SUM(X86:X95)</f>
        <v>8</v>
      </c>
      <c r="Y96" s="108">
        <f>SUM(Y86:Y95)</f>
        <v>12</v>
      </c>
      <c r="AA96" s="126" t="s">
        <v>3</v>
      </c>
      <c r="AB96" s="108">
        <f>SUM(AB86:AB95)</f>
        <v>15</v>
      </c>
      <c r="AC96" s="108">
        <f>SUM(AC86:AC95)</f>
        <v>15</v>
      </c>
      <c r="AD96" s="108">
        <f>SUM(AD86:AD95)</f>
        <v>13</v>
      </c>
      <c r="AE96" s="108">
        <f>SUM(AE86:AE95)</f>
        <v>7</v>
      </c>
      <c r="AF96" s="127">
        <f>MAX(AF86:AF94)</f>
        <v>50</v>
      </c>
      <c r="AH96" s="127">
        <f>MAX(AH86:AH94)</f>
        <v>40</v>
      </c>
      <c r="AI96" s="108">
        <f>SUM(AI86:AI95)</f>
        <v>8</v>
      </c>
      <c r="AJ96" s="108">
        <f>SUM(AJ86:AJ95)</f>
        <v>15</v>
      </c>
      <c r="AK96" s="584">
        <f>SUM(AK86:AK95)</f>
        <v>13</v>
      </c>
      <c r="AL96" s="108">
        <f>SUM(AL86:AL95)</f>
        <v>4</v>
      </c>
    </row>
    <row r="97" spans="1:38" ht="15.75">
      <c r="A97" s="128" t="s">
        <v>4</v>
      </c>
      <c r="B97" s="117">
        <f>COUNTA(B86:B95)</f>
        <v>3</v>
      </c>
      <c r="C97" s="117">
        <f>COUNTA(C86:C95)</f>
        <v>2</v>
      </c>
      <c r="D97" s="117">
        <f>COUNTA(D86:D95)</f>
        <v>2</v>
      </c>
      <c r="E97" s="117">
        <f>COUNTA(E86:E95)</f>
        <v>2</v>
      </c>
      <c r="F97" s="127">
        <f>SUM(B97:E97)</f>
        <v>9</v>
      </c>
      <c r="H97" s="127">
        <f>SUM(I97:L97)</f>
        <v>8</v>
      </c>
      <c r="I97" s="117">
        <f>COUNTA(I86:I95)</f>
        <v>2</v>
      </c>
      <c r="J97" s="117">
        <f>COUNTA(J86:J95)</f>
        <v>2</v>
      </c>
      <c r="K97" s="117">
        <f>COUNTA(K86:K95)</f>
        <v>2</v>
      </c>
      <c r="L97" s="117">
        <f>COUNTA(L86:L95)</f>
        <v>2</v>
      </c>
      <c r="N97" s="128" t="s">
        <v>4</v>
      </c>
      <c r="O97" s="117">
        <f>COUNTA(O86:O95)</f>
        <v>2</v>
      </c>
      <c r="P97" s="117">
        <f>COUNTA(P86:P95)</f>
        <v>2</v>
      </c>
      <c r="Q97" s="117">
        <f>COUNTA(Q86:Q95)</f>
        <v>1</v>
      </c>
      <c r="R97" s="117">
        <f>COUNTA(R86:R95)</f>
        <v>1</v>
      </c>
      <c r="S97" s="127">
        <f>SUM(O97:R97)</f>
        <v>6</v>
      </c>
      <c r="U97" s="127">
        <f>SUM(V97:Y97)</f>
        <v>5</v>
      </c>
      <c r="V97" s="117">
        <f>COUNTA(V86:V95)</f>
        <v>2</v>
      </c>
      <c r="W97" s="117">
        <f>COUNTA(W86:W95)</f>
        <v>1</v>
      </c>
      <c r="X97" s="117">
        <f>COUNTA(X86:X95)</f>
        <v>1</v>
      </c>
      <c r="Y97" s="117">
        <f>COUNTA(Y86:Y95)</f>
        <v>1</v>
      </c>
      <c r="AA97" s="128" t="s">
        <v>4</v>
      </c>
      <c r="AB97" s="117">
        <f>COUNTA(AB86:AB95)</f>
        <v>3</v>
      </c>
      <c r="AC97" s="117">
        <f>COUNTA(AC86:AC95)</f>
        <v>2</v>
      </c>
      <c r="AD97" s="117">
        <f>COUNTA(AD86:AD95)</f>
        <v>2</v>
      </c>
      <c r="AE97" s="117">
        <f>COUNTA(AE86:AE95)</f>
        <v>2</v>
      </c>
      <c r="AF97" s="127">
        <f>SUM(AB97:AE97)</f>
        <v>9</v>
      </c>
      <c r="AH97" s="127">
        <f>SUM(AI97:AL97)</f>
        <v>8</v>
      </c>
      <c r="AI97" s="117">
        <f>COUNTA(AI86:AI95)</f>
        <v>2</v>
      </c>
      <c r="AJ97" s="117">
        <f>COUNTA(AJ86:AJ95)</f>
        <v>2</v>
      </c>
      <c r="AK97" s="117">
        <f>COUNTA(AK86:AK95)</f>
        <v>2</v>
      </c>
      <c r="AL97" s="117">
        <f>COUNTA(AL86:AL95)</f>
        <v>2</v>
      </c>
    </row>
    <row r="98" spans="1:38" ht="15.75">
      <c r="A98" s="126" t="s">
        <v>6</v>
      </c>
      <c r="B98" s="108">
        <f>B97-COUNT(B86:B95)</f>
        <v>1</v>
      </c>
      <c r="C98" s="108">
        <f>C97-COUNT(C86:C95)</f>
        <v>0</v>
      </c>
      <c r="D98" s="108">
        <f>D97-COUNT(D86:D95)</f>
        <v>1</v>
      </c>
      <c r="E98" s="108">
        <f>E97-COUNT(E86:E95)</f>
        <v>0</v>
      </c>
      <c r="F98" s="127">
        <f>SUM(B98:E98)</f>
        <v>2</v>
      </c>
      <c r="H98" s="127">
        <f>SUM(I98:L98)</f>
        <v>2</v>
      </c>
      <c r="I98" s="584">
        <f>I97-COUNT(I86:I95)</f>
        <v>0</v>
      </c>
      <c r="J98" s="584">
        <f>J97-COUNT(J86:J95)</f>
        <v>1</v>
      </c>
      <c r="K98" s="584">
        <f>K97-COUNT(K86:K95)</f>
        <v>1</v>
      </c>
      <c r="L98" s="108">
        <f>L97-COUNT(L86:L95)</f>
        <v>0</v>
      </c>
      <c r="N98" s="126" t="s">
        <v>6</v>
      </c>
      <c r="O98" s="108">
        <f>O97-COUNT(O86:O95)</f>
        <v>0</v>
      </c>
      <c r="P98" s="108">
        <f>P97-COUNT(P86:P95)</f>
        <v>0</v>
      </c>
      <c r="Q98" s="108">
        <f>Q97-COUNT(Q86:Q95)</f>
        <v>1</v>
      </c>
      <c r="R98" s="108">
        <f>R97-COUNT(R86:R95)</f>
        <v>0</v>
      </c>
      <c r="S98" s="127">
        <f>SUM(O98:R98)</f>
        <v>1</v>
      </c>
      <c r="U98" s="127">
        <f>SUM(V98:Y98)</f>
        <v>1</v>
      </c>
      <c r="V98" s="584">
        <f>V97-COUNT(V86:V95)</f>
        <v>1</v>
      </c>
      <c r="W98" s="584">
        <f>W97-COUNT(W86:W95)</f>
        <v>0</v>
      </c>
      <c r="X98" s="584">
        <f>X97-COUNT(X86:X95)</f>
        <v>0</v>
      </c>
      <c r="Y98" s="108">
        <f>Y97-COUNT(Y86:Y95)</f>
        <v>0</v>
      </c>
      <c r="AA98" s="126" t="s">
        <v>6</v>
      </c>
      <c r="AB98" s="108">
        <f>AB97-COUNT(AB86:AB95)</f>
        <v>0</v>
      </c>
      <c r="AC98" s="108">
        <f>AC97-COUNT(AC86:AC95)</f>
        <v>0</v>
      </c>
      <c r="AD98" s="108">
        <f>AD97-COUNT(AD86:AD95)</f>
        <v>0</v>
      </c>
      <c r="AE98" s="108">
        <f>AE97-COUNT(AE86:AE95)</f>
        <v>0</v>
      </c>
      <c r="AF98" s="127">
        <f>SUM(AB98:AE98)</f>
        <v>0</v>
      </c>
      <c r="AH98" s="127">
        <f>SUM(AI98:AL98)</f>
        <v>2</v>
      </c>
      <c r="AI98" s="584">
        <f>AI97-COUNT(AI86:AI95)</f>
        <v>1</v>
      </c>
      <c r="AJ98" s="584">
        <f>AJ97-COUNT(AJ86:AJ95)</f>
        <v>0</v>
      </c>
      <c r="AK98" s="584">
        <f>AK97-COUNT(AK86:AK95)</f>
        <v>0</v>
      </c>
      <c r="AL98" s="108">
        <f>AL97-COUNT(AL86:AL95)</f>
        <v>1</v>
      </c>
    </row>
    <row r="99" spans="1:38" ht="15.75">
      <c r="A99" s="126" t="s">
        <v>12</v>
      </c>
      <c r="B99" s="129">
        <f>B98/B97</f>
        <v>0.33333333333333331</v>
      </c>
      <c r="C99" s="129">
        <f>C98/C97</f>
        <v>0</v>
      </c>
      <c r="D99" s="129">
        <f>D98/D97</f>
        <v>0.5</v>
      </c>
      <c r="E99" s="129">
        <f>E98/E97</f>
        <v>0</v>
      </c>
      <c r="F99" s="130">
        <f>F98/F97</f>
        <v>0.22222222222222221</v>
      </c>
      <c r="H99" s="130">
        <f>H98/H97</f>
        <v>0.25</v>
      </c>
      <c r="I99" s="131">
        <f>I98/I97</f>
        <v>0</v>
      </c>
      <c r="J99" s="131">
        <f>J98/J97</f>
        <v>0.5</v>
      </c>
      <c r="K99" s="129">
        <f>K98/K97</f>
        <v>0.5</v>
      </c>
      <c r="L99" s="129">
        <f>L98/L97</f>
        <v>0</v>
      </c>
      <c r="N99" s="126" t="s">
        <v>12</v>
      </c>
      <c r="O99" s="129">
        <f>O98/O97</f>
        <v>0</v>
      </c>
      <c r="P99" s="129">
        <f>P98/P97</f>
        <v>0</v>
      </c>
      <c r="Q99" s="129">
        <f>Q98/Q97</f>
        <v>1</v>
      </c>
      <c r="R99" s="129">
        <f>R98/R97</f>
        <v>0</v>
      </c>
      <c r="S99" s="130">
        <f>S98/S97</f>
        <v>0.16666666666666666</v>
      </c>
      <c r="U99" s="130">
        <f>U98/U97</f>
        <v>0.2</v>
      </c>
      <c r="V99" s="131">
        <f>V98/V97</f>
        <v>0.5</v>
      </c>
      <c r="W99" s="131">
        <f>W98/W97</f>
        <v>0</v>
      </c>
      <c r="X99" s="129">
        <f>X98/X97</f>
        <v>0</v>
      </c>
      <c r="Y99" s="129">
        <f>Y98/Y97</f>
        <v>0</v>
      </c>
      <c r="AA99" s="126" t="s">
        <v>12</v>
      </c>
      <c r="AB99" s="129">
        <f>AB98/AB97</f>
        <v>0</v>
      </c>
      <c r="AC99" s="129">
        <f>AC98/AC97</f>
        <v>0</v>
      </c>
      <c r="AD99" s="129">
        <f>AD98/AD97</f>
        <v>0</v>
      </c>
      <c r="AE99" s="129">
        <f>AE98/AE97</f>
        <v>0</v>
      </c>
      <c r="AF99" s="130">
        <f>AF98/AF97</f>
        <v>0</v>
      </c>
      <c r="AH99" s="130">
        <f>AH98/AH97</f>
        <v>0.25</v>
      </c>
      <c r="AI99" s="131">
        <f>AI98/AI97</f>
        <v>0.5</v>
      </c>
      <c r="AJ99" s="131">
        <f>AJ98/AJ97</f>
        <v>0</v>
      </c>
      <c r="AK99" s="129">
        <f>AK98/AK97</f>
        <v>0</v>
      </c>
      <c r="AL99" s="129">
        <f>AL98/AL97</f>
        <v>0.5</v>
      </c>
    </row>
    <row r="100" spans="1:38" ht="15.75">
      <c r="A100" s="126" t="s">
        <v>5</v>
      </c>
      <c r="B100" s="132">
        <f>B96/B97</f>
        <v>5.333333333333333</v>
      </c>
      <c r="C100" s="132">
        <f>C96/C97</f>
        <v>11</v>
      </c>
      <c r="D100" s="132">
        <f>D96/D97</f>
        <v>1</v>
      </c>
      <c r="E100" s="132">
        <f>E96/E97</f>
        <v>5</v>
      </c>
      <c r="F100" s="133">
        <f>F96/F97</f>
        <v>5.5555555555555554</v>
      </c>
      <c r="H100" s="133">
        <f>H96/H97</f>
        <v>5.125</v>
      </c>
      <c r="I100" s="132">
        <f>I96/I97</f>
        <v>11.5</v>
      </c>
      <c r="J100" s="132">
        <f>J96/J97</f>
        <v>2.5</v>
      </c>
      <c r="K100" s="134">
        <f>K96/K97</f>
        <v>4.5</v>
      </c>
      <c r="L100" s="132">
        <f>L96/L97</f>
        <v>2</v>
      </c>
      <c r="N100" s="126" t="s">
        <v>5</v>
      </c>
      <c r="O100" s="132">
        <f>O96/O97</f>
        <v>12</v>
      </c>
      <c r="P100" s="132">
        <f>P96/P97</f>
        <v>7</v>
      </c>
      <c r="Q100" s="132">
        <f>Q96/Q97</f>
        <v>0</v>
      </c>
      <c r="R100" s="132">
        <f>R96/R97</f>
        <v>12</v>
      </c>
      <c r="S100" s="133">
        <f>S96/S97</f>
        <v>8.3333333333333339</v>
      </c>
      <c r="U100" s="133">
        <f>U96/U97</f>
        <v>7</v>
      </c>
      <c r="V100" s="132">
        <f>V96/V97</f>
        <v>1.5</v>
      </c>
      <c r="W100" s="132">
        <f>W96/W97</f>
        <v>12</v>
      </c>
      <c r="X100" s="134">
        <f>X96/X97</f>
        <v>8</v>
      </c>
      <c r="Y100" s="132">
        <f>Y96/Y97</f>
        <v>12</v>
      </c>
      <c r="AA100" s="126" t="s">
        <v>5</v>
      </c>
      <c r="AB100" s="132">
        <f>AB96/AB97</f>
        <v>5</v>
      </c>
      <c r="AC100" s="132">
        <f>AC96/AC97</f>
        <v>7.5</v>
      </c>
      <c r="AD100" s="132">
        <f>AD96/AD97</f>
        <v>6.5</v>
      </c>
      <c r="AE100" s="132">
        <f>AE96/AE97</f>
        <v>3.5</v>
      </c>
      <c r="AF100" s="133">
        <f>AF96/AF97</f>
        <v>5.5555555555555554</v>
      </c>
      <c r="AH100" s="133">
        <f>AH96/AH97</f>
        <v>5</v>
      </c>
      <c r="AI100" s="132">
        <f>AI96/AI97</f>
        <v>4</v>
      </c>
      <c r="AJ100" s="132">
        <f>AJ96/AJ97</f>
        <v>7.5</v>
      </c>
      <c r="AK100" s="134">
        <f>AK96/AK97</f>
        <v>6.5</v>
      </c>
      <c r="AL100" s="132">
        <f>AL96/AL97</f>
        <v>2</v>
      </c>
    </row>
    <row r="101" spans="1:38" ht="15.75">
      <c r="A101" s="126" t="s">
        <v>8</v>
      </c>
      <c r="B101" s="135">
        <f>B96/(B97-B98)</f>
        <v>8</v>
      </c>
      <c r="C101" s="135">
        <f>C96/(C97-C98)</f>
        <v>11</v>
      </c>
      <c r="D101" s="135">
        <f>D96/(D97-D98)</f>
        <v>2</v>
      </c>
      <c r="E101" s="135">
        <f>E96/(E97-E98)</f>
        <v>5</v>
      </c>
      <c r="F101" s="136">
        <f>F96/(F97-F98)</f>
        <v>7.1428571428571432</v>
      </c>
      <c r="H101" s="136">
        <f>H96/(H97-H98)</f>
        <v>6.833333333333333</v>
      </c>
      <c r="I101" s="135">
        <f>I96/(I97-I98)</f>
        <v>11.5</v>
      </c>
      <c r="J101" s="135">
        <f>J96/(J97-J98)</f>
        <v>5</v>
      </c>
      <c r="K101" s="135">
        <f>K96/(K97-K98)</f>
        <v>9</v>
      </c>
      <c r="L101" s="132">
        <f>L96/(L97-L98)</f>
        <v>2</v>
      </c>
      <c r="N101" s="126" t="s">
        <v>8</v>
      </c>
      <c r="O101" s="135">
        <f>O96/(O97-O98)</f>
        <v>12</v>
      </c>
      <c r="P101" s="135">
        <f>P96/(P97-P98)</f>
        <v>7</v>
      </c>
      <c r="Q101" s="663">
        <v>0</v>
      </c>
      <c r="R101" s="135">
        <f>R96/(R97-R98)</f>
        <v>12</v>
      </c>
      <c r="S101" s="136">
        <f>S96/(S97-S98)</f>
        <v>10</v>
      </c>
      <c r="U101" s="136">
        <f>U96/(U97-U98)</f>
        <v>8.75</v>
      </c>
      <c r="V101" s="135">
        <f>V96/(V97-V98)</f>
        <v>3</v>
      </c>
      <c r="W101" s="135">
        <f>W96/(W97-W98)</f>
        <v>12</v>
      </c>
      <c r="X101" s="135">
        <f>X96/(X97-X98)</f>
        <v>8</v>
      </c>
      <c r="Y101" s="132">
        <f>Y96/(Y97-Y98)</f>
        <v>12</v>
      </c>
      <c r="AA101" s="126" t="s">
        <v>8</v>
      </c>
      <c r="AB101" s="135">
        <f>AB96/(AB97-AB98)</f>
        <v>5</v>
      </c>
      <c r="AC101" s="135">
        <f>AC96/(AC97-AC98)</f>
        <v>7.5</v>
      </c>
      <c r="AD101" s="135">
        <f>AD96/(AD97-AD98)</f>
        <v>6.5</v>
      </c>
      <c r="AE101" s="135">
        <f>AE96/(AE97-AE98)</f>
        <v>3.5</v>
      </c>
      <c r="AF101" s="136">
        <f>AF96/(AF97-AF98)</f>
        <v>5.5555555555555554</v>
      </c>
      <c r="AH101" s="136">
        <f>AH96/(AH97-AH98)</f>
        <v>6.666666666666667</v>
      </c>
      <c r="AI101" s="135">
        <f>AI96/(AI97-AI98)</f>
        <v>8</v>
      </c>
      <c r="AJ101" s="135">
        <f>AJ96/(AJ97-AJ98)</f>
        <v>7.5</v>
      </c>
      <c r="AK101" s="135">
        <f>AK96/(AK97-AK98)</f>
        <v>6.5</v>
      </c>
      <c r="AL101" s="132">
        <f>AL96/(AL97-AL98)</f>
        <v>4</v>
      </c>
    </row>
    <row r="102" spans="1:38" s="111" customFormat="1" ht="15.75">
      <c r="A102" s="648" t="s">
        <v>177</v>
      </c>
      <c r="B102" s="110"/>
      <c r="C102" s="580"/>
      <c r="D102" s="110"/>
      <c r="E102" s="580"/>
      <c r="G102" s="580"/>
    </row>
    <row r="103" spans="1:38">
      <c r="A103" s="502"/>
      <c r="B103" s="1540" t="s">
        <v>146</v>
      </c>
      <c r="C103" s="1540"/>
      <c r="D103" s="1540"/>
      <c r="E103" s="1540"/>
      <c r="I103" s="1541" t="s">
        <v>105</v>
      </c>
      <c r="J103" s="1541"/>
      <c r="K103" s="1541"/>
      <c r="L103" s="1541"/>
      <c r="N103" s="502"/>
      <c r="O103" s="1541" t="s">
        <v>105</v>
      </c>
      <c r="P103" s="1541"/>
      <c r="Q103" s="1541"/>
      <c r="R103" s="1541"/>
      <c r="S103" s="502"/>
      <c r="V103" s="1540" t="s">
        <v>146</v>
      </c>
      <c r="W103" s="1540"/>
      <c r="X103" s="1540"/>
      <c r="Y103" s="1540"/>
    </row>
    <row r="104" spans="1:38" ht="15.75">
      <c r="B104" s="469">
        <v>1</v>
      </c>
      <c r="C104" s="470">
        <v>2</v>
      </c>
      <c r="D104" s="471">
        <v>3</v>
      </c>
      <c r="E104" s="872">
        <v>4</v>
      </c>
      <c r="F104" s="113">
        <f>IF(COUNTIF(F106:F116,"&gt;37")=0,0,COUNTIF(F106:F116,"&gt;37")-1)</f>
        <v>2</v>
      </c>
      <c r="H104" s="918">
        <v>0</v>
      </c>
      <c r="I104" s="585">
        <v>1</v>
      </c>
      <c r="J104" s="586">
        <v>2</v>
      </c>
      <c r="K104" s="587">
        <v>3</v>
      </c>
      <c r="L104" s="873">
        <v>4</v>
      </c>
      <c r="O104" s="585">
        <v>1</v>
      </c>
      <c r="P104" s="586">
        <v>2</v>
      </c>
      <c r="Q104" s="587">
        <v>3</v>
      </c>
      <c r="R104" s="873">
        <v>4</v>
      </c>
      <c r="S104" s="113">
        <f>IF(COUNTIF(S106:S116,"&gt;37")=0,0,COUNTIF(S106:S116,"&gt;37")-1)</f>
        <v>0</v>
      </c>
      <c r="U104" s="113">
        <f>IF(COUNTIF(U106:U116,"&gt;37")=0,0,COUNTIF(U106:U116,"&gt;37")-1)</f>
        <v>2</v>
      </c>
      <c r="V104" s="469">
        <v>1</v>
      </c>
      <c r="W104" s="470">
        <v>2</v>
      </c>
      <c r="X104" s="471">
        <v>3</v>
      </c>
      <c r="Y104" s="872">
        <v>4</v>
      </c>
    </row>
    <row r="105" spans="1:38" ht="48.75">
      <c r="A105" s="591"/>
      <c r="B105" s="473" t="s">
        <v>164</v>
      </c>
      <c r="C105" s="474" t="s">
        <v>165</v>
      </c>
      <c r="D105" s="475" t="s">
        <v>166</v>
      </c>
      <c r="E105" s="476" t="s">
        <v>167</v>
      </c>
      <c r="F105" s="593"/>
      <c r="G105" s="642"/>
      <c r="H105" s="593"/>
      <c r="I105" s="592" t="s">
        <v>106</v>
      </c>
      <c r="J105" s="592" t="s">
        <v>107</v>
      </c>
      <c r="K105" s="592" t="s">
        <v>55</v>
      </c>
      <c r="L105" s="592" t="s">
        <v>108</v>
      </c>
      <c r="N105" s="591"/>
      <c r="O105" s="592" t="s">
        <v>106</v>
      </c>
      <c r="P105" s="592" t="s">
        <v>107</v>
      </c>
      <c r="Q105" s="592" t="s">
        <v>55</v>
      </c>
      <c r="R105" s="592" t="s">
        <v>108</v>
      </c>
      <c r="S105" s="593"/>
      <c r="T105" s="642"/>
      <c r="U105" s="593"/>
      <c r="V105" s="473" t="s">
        <v>164</v>
      </c>
      <c r="W105" s="474" t="s">
        <v>165</v>
      </c>
      <c r="X105" s="475" t="s">
        <v>166</v>
      </c>
      <c r="Y105" s="476" t="s">
        <v>167</v>
      </c>
    </row>
    <row r="106" spans="1:38" ht="15.75">
      <c r="A106" s="118">
        <v>1</v>
      </c>
      <c r="B106" s="108">
        <v>10</v>
      </c>
      <c r="C106" s="117"/>
      <c r="D106" s="117"/>
      <c r="E106" s="107"/>
      <c r="F106" s="120">
        <f>SUM(B$106:E106)</f>
        <v>10</v>
      </c>
      <c r="G106" s="595">
        <f t="shared" ref="G106:G115" si="17">F106-H106</f>
        <v>2</v>
      </c>
      <c r="H106" s="141">
        <f>SUM(I$106:L106)</f>
        <v>8</v>
      </c>
      <c r="I106" s="108">
        <v>8</v>
      </c>
      <c r="J106" s="117"/>
      <c r="K106" s="117"/>
      <c r="L106" s="107"/>
      <c r="N106" s="118">
        <v>1</v>
      </c>
      <c r="O106" s="108">
        <v>9</v>
      </c>
      <c r="P106" s="117"/>
      <c r="Q106" s="117"/>
      <c r="R106" s="107"/>
      <c r="S106" s="120">
        <f>SUM(O$106:R106)</f>
        <v>9</v>
      </c>
      <c r="T106" s="595">
        <f t="shared" ref="T106:T115" si="18">S106-U106</f>
        <v>3</v>
      </c>
      <c r="U106" s="141">
        <f>SUM(V$106:Y106)</f>
        <v>6</v>
      </c>
      <c r="V106" s="108">
        <v>6</v>
      </c>
      <c r="W106" s="117"/>
      <c r="X106" s="117"/>
      <c r="Y106" s="107"/>
    </row>
    <row r="107" spans="1:38" ht="15.75">
      <c r="A107" s="122">
        <v>2</v>
      </c>
      <c r="B107" s="117"/>
      <c r="C107" s="108">
        <v>7</v>
      </c>
      <c r="D107" s="117"/>
      <c r="E107" s="117"/>
      <c r="F107" s="120">
        <f>SUM(B$106:E107)</f>
        <v>17</v>
      </c>
      <c r="G107" s="595">
        <f t="shared" si="17"/>
        <v>2</v>
      </c>
      <c r="H107" s="141">
        <f>SUM(I$106:L107)</f>
        <v>15</v>
      </c>
      <c r="I107" s="117"/>
      <c r="J107" s="108">
        <v>7</v>
      </c>
      <c r="K107" s="117"/>
      <c r="L107" s="117"/>
      <c r="N107" s="122">
        <v>2</v>
      </c>
      <c r="O107" s="117"/>
      <c r="P107" s="108">
        <v>2</v>
      </c>
      <c r="Q107" s="117"/>
      <c r="R107" s="117"/>
      <c r="S107" s="120">
        <f>SUM(O$106:R107)</f>
        <v>11</v>
      </c>
      <c r="T107" s="595">
        <f t="shared" si="18"/>
        <v>5</v>
      </c>
      <c r="U107" s="141">
        <f>SUM(V$106:Y107)</f>
        <v>6</v>
      </c>
      <c r="V107" s="117"/>
      <c r="W107" s="108" t="s">
        <v>2</v>
      </c>
      <c r="X107" s="117"/>
      <c r="Y107" s="117"/>
    </row>
    <row r="108" spans="1:38" ht="15.75">
      <c r="A108" s="122">
        <v>3</v>
      </c>
      <c r="B108" s="108"/>
      <c r="C108" s="117"/>
      <c r="D108" s="117" t="s">
        <v>2</v>
      </c>
      <c r="E108" s="107"/>
      <c r="F108" s="120">
        <f>SUM(B$106:E108)</f>
        <v>17</v>
      </c>
      <c r="G108" s="595">
        <f t="shared" si="17"/>
        <v>-2</v>
      </c>
      <c r="H108" s="141">
        <f>SUM(I$106:L108)</f>
        <v>19</v>
      </c>
      <c r="I108" s="108"/>
      <c r="J108" s="117"/>
      <c r="K108" s="117">
        <v>4</v>
      </c>
      <c r="L108" s="107"/>
      <c r="N108" s="122">
        <v>3</v>
      </c>
      <c r="O108" s="108"/>
      <c r="P108" s="117"/>
      <c r="Q108" s="117">
        <v>2</v>
      </c>
      <c r="R108" s="107"/>
      <c r="S108" s="120">
        <f>SUM(O$106:R108)</f>
        <v>13</v>
      </c>
      <c r="T108" s="595">
        <f t="shared" si="18"/>
        <v>4</v>
      </c>
      <c r="U108" s="141">
        <f>SUM(V$106:Y108)</f>
        <v>9</v>
      </c>
      <c r="V108" s="108"/>
      <c r="W108" s="117"/>
      <c r="X108" s="117">
        <v>3</v>
      </c>
      <c r="Y108" s="107"/>
    </row>
    <row r="109" spans="1:38" ht="15.75">
      <c r="A109" s="122">
        <v>4</v>
      </c>
      <c r="B109" s="117"/>
      <c r="C109" s="108"/>
      <c r="D109" s="117"/>
      <c r="E109" s="117">
        <v>3</v>
      </c>
      <c r="F109" s="120">
        <f>SUM(B$106:E109)</f>
        <v>20</v>
      </c>
      <c r="G109" s="595">
        <f t="shared" si="17"/>
        <v>-3</v>
      </c>
      <c r="H109" s="141">
        <f>SUM(I$106:L109)</f>
        <v>23</v>
      </c>
      <c r="I109" s="117"/>
      <c r="J109" s="108"/>
      <c r="K109" s="117"/>
      <c r="L109" s="117">
        <v>4</v>
      </c>
      <c r="N109" s="122">
        <v>4</v>
      </c>
      <c r="O109" s="117"/>
      <c r="P109" s="108"/>
      <c r="Q109" s="117"/>
      <c r="R109" s="117">
        <v>5</v>
      </c>
      <c r="S109" s="120">
        <f>SUM(O$106:R109)</f>
        <v>18</v>
      </c>
      <c r="T109" s="595">
        <f t="shared" si="18"/>
        <v>1</v>
      </c>
      <c r="U109" s="141">
        <f>SUM(V$106:Y109)</f>
        <v>17</v>
      </c>
      <c r="V109" s="117"/>
      <c r="W109" s="108"/>
      <c r="X109" s="117"/>
      <c r="Y109" s="117">
        <v>8</v>
      </c>
    </row>
    <row r="110" spans="1:38" ht="15.75">
      <c r="A110" s="122">
        <v>5</v>
      </c>
      <c r="B110" s="108">
        <v>2</v>
      </c>
      <c r="C110" s="117"/>
      <c r="D110" s="117"/>
      <c r="E110" s="107"/>
      <c r="F110" s="120">
        <f>SUM(B$106:E110)</f>
        <v>22</v>
      </c>
      <c r="G110" s="595">
        <f t="shared" si="17"/>
        <v>-3</v>
      </c>
      <c r="H110" s="141">
        <f>SUM(I$106:L110)</f>
        <v>25</v>
      </c>
      <c r="I110" s="108">
        <v>2</v>
      </c>
      <c r="J110" s="117"/>
      <c r="K110" s="117"/>
      <c r="L110" s="107"/>
      <c r="N110" s="122">
        <v>5</v>
      </c>
      <c r="O110" s="108">
        <v>6</v>
      </c>
      <c r="P110" s="117"/>
      <c r="Q110" s="117"/>
      <c r="R110" s="107"/>
      <c r="S110" s="120">
        <f>SUM(O$106:R110)</f>
        <v>24</v>
      </c>
      <c r="T110" s="595">
        <f t="shared" si="18"/>
        <v>7</v>
      </c>
      <c r="U110" s="141">
        <f>SUM(V$106:Y110)</f>
        <v>17</v>
      </c>
      <c r="V110" s="108" t="s">
        <v>2</v>
      </c>
      <c r="W110" s="117"/>
      <c r="X110" s="117"/>
      <c r="Y110" s="107"/>
    </row>
    <row r="111" spans="1:38" ht="15.75">
      <c r="A111" s="122">
        <v>6</v>
      </c>
      <c r="B111" s="117"/>
      <c r="C111" s="108">
        <v>2</v>
      </c>
      <c r="D111" s="117"/>
      <c r="E111" s="117"/>
      <c r="F111" s="120">
        <f>SUM(B$106:E111)</f>
        <v>24</v>
      </c>
      <c r="G111" s="595">
        <f t="shared" si="17"/>
        <v>-1</v>
      </c>
      <c r="H111" s="141">
        <f>SUM(I$106:L111)</f>
        <v>25</v>
      </c>
      <c r="I111" s="117"/>
      <c r="J111" s="108" t="s">
        <v>2</v>
      </c>
      <c r="K111" s="117"/>
      <c r="L111" s="117"/>
      <c r="N111" s="122">
        <v>6</v>
      </c>
      <c r="O111" s="117"/>
      <c r="P111" s="108">
        <v>6</v>
      </c>
      <c r="Q111" s="117"/>
      <c r="R111" s="117"/>
      <c r="S111" s="120">
        <f>SUM(O$106:R111)</f>
        <v>30</v>
      </c>
      <c r="T111" s="595">
        <f t="shared" si="18"/>
        <v>8</v>
      </c>
      <c r="U111" s="141">
        <f>SUM(V$106:Y111)</f>
        <v>22</v>
      </c>
      <c r="V111" s="117"/>
      <c r="W111" s="108">
        <v>5</v>
      </c>
      <c r="X111" s="117"/>
      <c r="Y111" s="117"/>
    </row>
    <row r="112" spans="1:38" ht="15.75">
      <c r="A112" s="118">
        <v>7</v>
      </c>
      <c r="B112" s="108"/>
      <c r="C112" s="117"/>
      <c r="D112" s="117">
        <v>10</v>
      </c>
      <c r="E112" s="107"/>
      <c r="F112" s="120">
        <f>SUM(B$106:E112)</f>
        <v>34</v>
      </c>
      <c r="G112" s="595">
        <f t="shared" si="17"/>
        <v>2</v>
      </c>
      <c r="H112" s="141">
        <f>SUM(I$106:L112)</f>
        <v>32</v>
      </c>
      <c r="I112" s="108"/>
      <c r="J112" s="117"/>
      <c r="K112" s="117">
        <v>7</v>
      </c>
      <c r="L112" s="107"/>
      <c r="N112" s="118">
        <v>7</v>
      </c>
      <c r="O112" s="108"/>
      <c r="P112" s="117"/>
      <c r="Q112" s="117">
        <v>4</v>
      </c>
      <c r="R112" s="107"/>
      <c r="S112" s="120">
        <f>SUM(O$106:R112)</f>
        <v>34</v>
      </c>
      <c r="T112" s="595">
        <f t="shared" si="18"/>
        <v>2</v>
      </c>
      <c r="U112" s="141">
        <f>SUM(V$106:Y112)</f>
        <v>32</v>
      </c>
      <c r="V112" s="108"/>
      <c r="W112" s="117"/>
      <c r="X112" s="117">
        <v>10</v>
      </c>
      <c r="Y112" s="107"/>
    </row>
    <row r="113" spans="1:25" ht="15.75">
      <c r="A113" s="122">
        <v>8</v>
      </c>
      <c r="B113" s="117"/>
      <c r="C113" s="108"/>
      <c r="D113" s="117"/>
      <c r="E113" s="117">
        <v>7</v>
      </c>
      <c r="F113" s="120">
        <f>SUM(B$106:E113)</f>
        <v>41</v>
      </c>
      <c r="G113" s="595">
        <f t="shared" si="17"/>
        <v>5</v>
      </c>
      <c r="H113" s="141">
        <f>SUM(I$106:L113)</f>
        <v>36</v>
      </c>
      <c r="I113" s="117"/>
      <c r="J113" s="108"/>
      <c r="K113" s="117"/>
      <c r="L113" s="117">
        <v>4</v>
      </c>
      <c r="N113" s="122">
        <v>8</v>
      </c>
      <c r="O113" s="117"/>
      <c r="P113" s="108"/>
      <c r="Q113" s="117"/>
      <c r="R113" s="117" t="s">
        <v>2</v>
      </c>
      <c r="S113" s="120">
        <f>SUM(O$106:R113)</f>
        <v>34</v>
      </c>
      <c r="T113" s="595">
        <f t="shared" si="18"/>
        <v>-4</v>
      </c>
      <c r="U113" s="141">
        <f>SUM(V$106:Y113)</f>
        <v>38</v>
      </c>
      <c r="V113" s="117"/>
      <c r="W113" s="108"/>
      <c r="X113" s="117"/>
      <c r="Y113" s="117">
        <v>6</v>
      </c>
    </row>
    <row r="114" spans="1:25" ht="15.75">
      <c r="A114" s="122">
        <v>9</v>
      </c>
      <c r="B114" s="108">
        <v>1</v>
      </c>
      <c r="C114" s="117"/>
      <c r="D114" s="117"/>
      <c r="E114" s="107"/>
      <c r="F114" s="120">
        <f>SUM(B$106:E114)</f>
        <v>42</v>
      </c>
      <c r="G114" s="595">
        <f t="shared" si="17"/>
        <v>-4</v>
      </c>
      <c r="H114" s="141">
        <f>SUM(I$106:L114)</f>
        <v>46</v>
      </c>
      <c r="I114" s="108">
        <v>10</v>
      </c>
      <c r="J114" s="117"/>
      <c r="K114" s="117"/>
      <c r="L114" s="107"/>
      <c r="N114" s="122">
        <v>9</v>
      </c>
      <c r="O114" s="108" t="s">
        <v>2</v>
      </c>
      <c r="P114" s="117"/>
      <c r="Q114" s="117"/>
      <c r="R114" s="107"/>
      <c r="S114" s="120">
        <f>SUM(O$106:R114)</f>
        <v>34</v>
      </c>
      <c r="T114" s="595">
        <f t="shared" si="18"/>
        <v>-10</v>
      </c>
      <c r="U114" s="141">
        <f>SUM(V$106:Y114)</f>
        <v>44</v>
      </c>
      <c r="V114" s="108">
        <v>6</v>
      </c>
      <c r="W114" s="117"/>
      <c r="X114" s="117"/>
      <c r="Y114" s="107"/>
    </row>
    <row r="115" spans="1:25" ht="15.75">
      <c r="A115" s="122">
        <v>10</v>
      </c>
      <c r="B115" s="108"/>
      <c r="C115" s="565">
        <v>8</v>
      </c>
      <c r="D115" s="117"/>
      <c r="E115" s="107"/>
      <c r="F115" s="120">
        <f>SUM(B$106:E115)</f>
        <v>50</v>
      </c>
      <c r="G115" s="595">
        <f t="shared" si="17"/>
        <v>4</v>
      </c>
      <c r="H115" s="141">
        <f>SUM(I$106:L115)</f>
        <v>46</v>
      </c>
      <c r="I115" s="108"/>
      <c r="J115" s="117"/>
      <c r="K115" s="117"/>
      <c r="L115" s="107"/>
      <c r="N115" s="122">
        <v>10</v>
      </c>
      <c r="O115" s="108"/>
      <c r="P115" s="117">
        <v>5</v>
      </c>
      <c r="Q115" s="117"/>
      <c r="R115" s="107"/>
      <c r="S115" s="120">
        <f>SUM(O$106:R115)</f>
        <v>39</v>
      </c>
      <c r="T115" s="595">
        <f t="shared" si="18"/>
        <v>-11</v>
      </c>
      <c r="U115" s="141">
        <f>SUM(V$106:Y115)</f>
        <v>50</v>
      </c>
      <c r="V115" s="108"/>
      <c r="W115" s="565">
        <v>6</v>
      </c>
      <c r="X115" s="117"/>
      <c r="Y115" s="107"/>
    </row>
    <row r="116" spans="1:25">
      <c r="C116" s="583"/>
      <c r="E116" s="582"/>
      <c r="F116" s="583"/>
      <c r="I116" s="582"/>
      <c r="J116" s="583"/>
      <c r="K116" s="583"/>
      <c r="L116" s="582"/>
      <c r="P116" s="583"/>
      <c r="R116" s="582"/>
      <c r="V116" s="582"/>
      <c r="W116" s="583"/>
      <c r="X116" s="583"/>
      <c r="Y116" s="582"/>
    </row>
    <row r="117" spans="1:25" ht="15.75">
      <c r="A117" s="126" t="s">
        <v>3</v>
      </c>
      <c r="B117" s="108">
        <f>SUM(B106:B116)</f>
        <v>13</v>
      </c>
      <c r="C117" s="584">
        <f>SUM(C106:C116)</f>
        <v>17</v>
      </c>
      <c r="D117" s="108">
        <f>SUM(D106:D116)</f>
        <v>10</v>
      </c>
      <c r="E117" s="108">
        <f>SUM(E106:E116)</f>
        <v>10</v>
      </c>
      <c r="F117" s="127">
        <f>SUM(B117:E117)</f>
        <v>50</v>
      </c>
      <c r="H117" s="127">
        <f>SUM(I117:L117)</f>
        <v>46</v>
      </c>
      <c r="I117" s="108">
        <f>SUM(I106:I116)</f>
        <v>20</v>
      </c>
      <c r="J117" s="108">
        <f>SUM(J106:J116)</f>
        <v>7</v>
      </c>
      <c r="K117" s="108">
        <f>SUM(K106:K116)</f>
        <v>11</v>
      </c>
      <c r="L117" s="108">
        <f>SUM(L106:L116)</f>
        <v>8</v>
      </c>
      <c r="N117" s="126" t="s">
        <v>3</v>
      </c>
      <c r="O117" s="108">
        <f>SUM(O106:O116)</f>
        <v>15</v>
      </c>
      <c r="P117" s="584">
        <f>SUM(P106:P116)</f>
        <v>13</v>
      </c>
      <c r="Q117" s="108">
        <f>SUM(Q106:Q116)</f>
        <v>6</v>
      </c>
      <c r="R117" s="108">
        <f>SUM(R106:R116)</f>
        <v>5</v>
      </c>
      <c r="S117" s="127">
        <f>SUM(O117:R117)</f>
        <v>39</v>
      </c>
      <c r="U117" s="127">
        <f>SUM(V117:Y117)</f>
        <v>50</v>
      </c>
      <c r="V117" s="108">
        <f>SUM(V106:V116)</f>
        <v>12</v>
      </c>
      <c r="W117" s="108">
        <f>SUM(W106:W116)</f>
        <v>11</v>
      </c>
      <c r="X117" s="108">
        <f>SUM(X106:X116)</f>
        <v>13</v>
      </c>
      <c r="Y117" s="108">
        <f>SUM(Y106:Y116)</f>
        <v>14</v>
      </c>
    </row>
    <row r="118" spans="1:25" ht="15.75">
      <c r="A118" s="128" t="s">
        <v>4</v>
      </c>
      <c r="B118" s="117">
        <f>COUNTA(B106:B116)</f>
        <v>3</v>
      </c>
      <c r="C118" s="117">
        <f>COUNTA(C106:C116)</f>
        <v>3</v>
      </c>
      <c r="D118" s="117">
        <f>COUNTA(D106:D116)</f>
        <v>2</v>
      </c>
      <c r="E118" s="117">
        <f>COUNTA(E106:E116)</f>
        <v>2</v>
      </c>
      <c r="F118" s="127">
        <f>SUM(B118:E118)</f>
        <v>10</v>
      </c>
      <c r="H118" s="127">
        <f>SUM(I118:L118)</f>
        <v>9</v>
      </c>
      <c r="I118" s="117">
        <f>COUNTA(I106:I116)</f>
        <v>3</v>
      </c>
      <c r="J118" s="117">
        <f>COUNTA(J106:J116)</f>
        <v>2</v>
      </c>
      <c r="K118" s="117">
        <f>COUNTA(K106:K116)</f>
        <v>2</v>
      </c>
      <c r="L118" s="117">
        <f>COUNTA(L106:L116)</f>
        <v>2</v>
      </c>
      <c r="N118" s="128" t="s">
        <v>4</v>
      </c>
      <c r="O118" s="117">
        <f>COUNTA(O106:O116)</f>
        <v>3</v>
      </c>
      <c r="P118" s="117">
        <f>COUNTA(P106:P116)</f>
        <v>3</v>
      </c>
      <c r="Q118" s="117">
        <f>COUNTA(Q106:Q116)</f>
        <v>2</v>
      </c>
      <c r="R118" s="117">
        <f>COUNTA(R106:R116)</f>
        <v>2</v>
      </c>
      <c r="S118" s="127">
        <f>SUM(O118:R118)</f>
        <v>10</v>
      </c>
      <c r="U118" s="127">
        <f>SUM(V118:Y118)</f>
        <v>10</v>
      </c>
      <c r="V118" s="117">
        <f>COUNTA(V106:V116)</f>
        <v>3</v>
      </c>
      <c r="W118" s="117">
        <f>COUNTA(W106:W116)</f>
        <v>3</v>
      </c>
      <c r="X118" s="117">
        <f>COUNTA(X106:X116)</f>
        <v>2</v>
      </c>
      <c r="Y118" s="117">
        <f>COUNTA(Y106:Y116)</f>
        <v>2</v>
      </c>
    </row>
    <row r="119" spans="1:25" ht="15.75">
      <c r="A119" s="126" t="s">
        <v>6</v>
      </c>
      <c r="B119" s="584">
        <f>B118-COUNT(B106:B116)</f>
        <v>0</v>
      </c>
      <c r="C119" s="584">
        <f>C118-COUNT(C106:C116)</f>
        <v>0</v>
      </c>
      <c r="D119" s="584">
        <f>D118-COUNT(D106:D116)</f>
        <v>1</v>
      </c>
      <c r="E119" s="584">
        <f>E118-COUNT(E106:E116)</f>
        <v>0</v>
      </c>
      <c r="F119" s="127">
        <f>SUM(B119:E119)</f>
        <v>1</v>
      </c>
      <c r="H119" s="127">
        <f>SUM(I119:L119)</f>
        <v>1</v>
      </c>
      <c r="I119" s="108">
        <f>I118-COUNT(I106:I116)</f>
        <v>0</v>
      </c>
      <c r="J119" s="108">
        <f>J118-COUNT(J106:J116)</f>
        <v>1</v>
      </c>
      <c r="K119" s="108">
        <f>K118-COUNT(K106:K116)</f>
        <v>0</v>
      </c>
      <c r="L119" s="108">
        <f>L118-COUNT(L106:L116)</f>
        <v>0</v>
      </c>
      <c r="N119" s="126" t="s">
        <v>6</v>
      </c>
      <c r="O119" s="584">
        <f>O118-COUNT(O106:O116)</f>
        <v>1</v>
      </c>
      <c r="P119" s="584">
        <f>P118-COUNT(P106:P116)</f>
        <v>0</v>
      </c>
      <c r="Q119" s="584">
        <f>Q118-COUNT(Q106:Q116)</f>
        <v>0</v>
      </c>
      <c r="R119" s="584">
        <f>R118-COUNT(R106:R116)</f>
        <v>1</v>
      </c>
      <c r="S119" s="127">
        <f>SUM(O119:R119)</f>
        <v>2</v>
      </c>
      <c r="U119" s="127">
        <f>SUM(V119:Y119)</f>
        <v>2</v>
      </c>
      <c r="V119" s="108">
        <f>V118-COUNT(V106:V116)</f>
        <v>1</v>
      </c>
      <c r="W119" s="108">
        <f>W118-COUNT(W106:W116)</f>
        <v>1</v>
      </c>
      <c r="X119" s="108">
        <f>X118-COUNT(X106:X116)</f>
        <v>0</v>
      </c>
      <c r="Y119" s="108">
        <f>Y118-COUNT(Y106:Y116)</f>
        <v>0</v>
      </c>
    </row>
    <row r="120" spans="1:25" ht="15.75">
      <c r="A120" s="126" t="s">
        <v>12</v>
      </c>
      <c r="B120" s="129">
        <f>B119/B118</f>
        <v>0</v>
      </c>
      <c r="C120" s="131">
        <f>C119/C118</f>
        <v>0</v>
      </c>
      <c r="D120" s="131">
        <f>D119/D118</f>
        <v>0.5</v>
      </c>
      <c r="E120" s="131">
        <f>E119/E118</f>
        <v>0</v>
      </c>
      <c r="F120" s="130">
        <f>F119/F118</f>
        <v>0.1</v>
      </c>
      <c r="H120" s="130">
        <f>H119/H118</f>
        <v>0.1111111111111111</v>
      </c>
      <c r="I120" s="129">
        <f>I119/I118</f>
        <v>0</v>
      </c>
      <c r="J120" s="129">
        <f>J119/J118</f>
        <v>0.5</v>
      </c>
      <c r="K120" s="129">
        <f>K119/K118</f>
        <v>0</v>
      </c>
      <c r="L120" s="129">
        <f>L119/L118</f>
        <v>0</v>
      </c>
      <c r="N120" s="126" t="s">
        <v>12</v>
      </c>
      <c r="O120" s="129">
        <f>O119/O118</f>
        <v>0.33333333333333331</v>
      </c>
      <c r="P120" s="131">
        <f>P119/P118</f>
        <v>0</v>
      </c>
      <c r="Q120" s="131">
        <f>Q119/Q118</f>
        <v>0</v>
      </c>
      <c r="R120" s="131">
        <f>R119/R118</f>
        <v>0.5</v>
      </c>
      <c r="S120" s="130">
        <f>S119/S118</f>
        <v>0.2</v>
      </c>
      <c r="U120" s="130">
        <f>U119/U118</f>
        <v>0.2</v>
      </c>
      <c r="V120" s="129">
        <f>V119/V118</f>
        <v>0.33333333333333331</v>
      </c>
      <c r="W120" s="129">
        <f>W119/W118</f>
        <v>0.33333333333333331</v>
      </c>
      <c r="X120" s="129">
        <f>X119/X118</f>
        <v>0</v>
      </c>
      <c r="Y120" s="129">
        <f>Y119/Y118</f>
        <v>0</v>
      </c>
    </row>
    <row r="121" spans="1:25" ht="15.75">
      <c r="A121" s="126" t="s">
        <v>5</v>
      </c>
      <c r="B121" s="132">
        <f>B117/B118</f>
        <v>4.333333333333333</v>
      </c>
      <c r="C121" s="134">
        <f>C117/C118</f>
        <v>5.666666666666667</v>
      </c>
      <c r="D121" s="132">
        <f>D117/D118</f>
        <v>5</v>
      </c>
      <c r="E121" s="132">
        <f>E117/E118</f>
        <v>5</v>
      </c>
      <c r="F121" s="133">
        <f>F117/F118</f>
        <v>5</v>
      </c>
      <c r="H121" s="133">
        <f>H117/H118</f>
        <v>5.1111111111111107</v>
      </c>
      <c r="I121" s="132">
        <f>I117/I118</f>
        <v>6.666666666666667</v>
      </c>
      <c r="J121" s="132">
        <f>J117/J118</f>
        <v>3.5</v>
      </c>
      <c r="K121" s="132">
        <f>K117/K118</f>
        <v>5.5</v>
      </c>
      <c r="L121" s="132">
        <f>L117/L118</f>
        <v>4</v>
      </c>
      <c r="N121" s="126" t="s">
        <v>5</v>
      </c>
      <c r="O121" s="132">
        <f>O117/O118</f>
        <v>5</v>
      </c>
      <c r="P121" s="134">
        <f>P117/P118</f>
        <v>4.333333333333333</v>
      </c>
      <c r="Q121" s="132">
        <f>Q117/Q118</f>
        <v>3</v>
      </c>
      <c r="R121" s="132">
        <f>R117/R118</f>
        <v>2.5</v>
      </c>
      <c r="S121" s="133">
        <f>S117/S118</f>
        <v>3.9</v>
      </c>
      <c r="U121" s="133">
        <f>U117/U118</f>
        <v>5</v>
      </c>
      <c r="V121" s="132">
        <f>V117/V118</f>
        <v>4</v>
      </c>
      <c r="W121" s="132">
        <f>W117/W118</f>
        <v>3.6666666666666665</v>
      </c>
      <c r="X121" s="132">
        <f>X117/X118</f>
        <v>6.5</v>
      </c>
      <c r="Y121" s="132">
        <f>Y117/Y118</f>
        <v>7</v>
      </c>
    </row>
    <row r="122" spans="1:25" ht="15.75">
      <c r="A122" s="126" t="s">
        <v>8</v>
      </c>
      <c r="B122" s="132">
        <f>B117/(B118-B119)</f>
        <v>4.333333333333333</v>
      </c>
      <c r="C122" s="134">
        <f>C117/(C118-C119)</f>
        <v>5.666666666666667</v>
      </c>
      <c r="D122" s="134">
        <f>D117/(D118-D119)</f>
        <v>10</v>
      </c>
      <c r="E122" s="135">
        <f>E117/(E118-E119)</f>
        <v>5</v>
      </c>
      <c r="F122" s="136">
        <f>F117/(F118-F119)</f>
        <v>5.5555555555555554</v>
      </c>
      <c r="H122" s="136">
        <f>H117/(H118-H119)</f>
        <v>5.75</v>
      </c>
      <c r="I122" s="135">
        <f>I117/(I118-I119)</f>
        <v>6.666666666666667</v>
      </c>
      <c r="J122" s="135">
        <f>J117/(J118-J119)</f>
        <v>7</v>
      </c>
      <c r="K122" s="135">
        <f>K117/(K118-K119)</f>
        <v>5.5</v>
      </c>
      <c r="L122" s="135">
        <f>L117/(L118-L119)</f>
        <v>4</v>
      </c>
      <c r="N122" s="126" t="s">
        <v>8</v>
      </c>
      <c r="O122" s="132">
        <f>O117/(O118-O119)</f>
        <v>7.5</v>
      </c>
      <c r="P122" s="134">
        <f>P117/(P118-P119)</f>
        <v>4.333333333333333</v>
      </c>
      <c r="Q122" s="134">
        <f>Q117/(Q118-Q119)</f>
        <v>3</v>
      </c>
      <c r="R122" s="135">
        <f>R117/(R118-R119)</f>
        <v>5</v>
      </c>
      <c r="S122" s="136">
        <f>S117/(S118-S119)</f>
        <v>4.875</v>
      </c>
      <c r="U122" s="136">
        <f>U117/(U118-U119)</f>
        <v>6.25</v>
      </c>
      <c r="V122" s="135">
        <f>V117/(V118-V119)</f>
        <v>6</v>
      </c>
      <c r="W122" s="135">
        <f>W117/(W118-W119)</f>
        <v>5.5</v>
      </c>
      <c r="X122" s="135">
        <f>X117/(X118-X119)</f>
        <v>6.5</v>
      </c>
      <c r="Y122" s="135">
        <f>Y117/(Y118-Y119)</f>
        <v>7</v>
      </c>
    </row>
    <row r="123" spans="1:25" s="111" customFormat="1">
      <c r="A123" s="109"/>
      <c r="B123" s="110"/>
      <c r="C123" s="580"/>
      <c r="D123" s="110"/>
      <c r="E123" s="580"/>
      <c r="G123" s="580"/>
    </row>
  </sheetData>
  <mergeCells count="38">
    <mergeCell ref="AB26:AE26"/>
    <mergeCell ref="AI26:AL26"/>
    <mergeCell ref="B26:E26"/>
    <mergeCell ref="I26:L26"/>
    <mergeCell ref="O26:R26"/>
    <mergeCell ref="V26:Y26"/>
    <mergeCell ref="AI2:AL2"/>
    <mergeCell ref="B2:E2"/>
    <mergeCell ref="I2:L2"/>
    <mergeCell ref="O2:R2"/>
    <mergeCell ref="V2:Y2"/>
    <mergeCell ref="AB2:AE2"/>
    <mergeCell ref="BI2:BL2"/>
    <mergeCell ref="BB26:BE26"/>
    <mergeCell ref="BI26:BL26"/>
    <mergeCell ref="AO2:AR2"/>
    <mergeCell ref="AV2:AY2"/>
    <mergeCell ref="AO26:AR26"/>
    <mergeCell ref="AV26:AY26"/>
    <mergeCell ref="BB2:BE2"/>
    <mergeCell ref="B46:E46"/>
    <mergeCell ref="I46:L46"/>
    <mergeCell ref="B78:E78"/>
    <mergeCell ref="I78:L78"/>
    <mergeCell ref="I103:L103"/>
    <mergeCell ref="B103:E103"/>
    <mergeCell ref="I83:L83"/>
    <mergeCell ref="B83:E83"/>
    <mergeCell ref="AI46:AL46"/>
    <mergeCell ref="O83:R83"/>
    <mergeCell ref="V83:Y83"/>
    <mergeCell ref="AB83:AE83"/>
    <mergeCell ref="AI83:AL83"/>
    <mergeCell ref="O103:R103"/>
    <mergeCell ref="V103:Y103"/>
    <mergeCell ref="O46:R46"/>
    <mergeCell ref="V46:Y46"/>
    <mergeCell ref="AB46:AE46"/>
  </mergeCells>
  <conditionalFormatting sqref="S5:S12 F5:F15 AF5:AF12 AF29:AF35 AS29:AS35 BF29:BF36 F49:F69 F81 AF86:AF94">
    <cfRule type="cellIs" dxfId="43" priority="135" operator="lessThan">
      <formula>H5</formula>
    </cfRule>
    <cfRule type="cellIs" dxfId="42" priority="136" operator="greaterThanOrEqual">
      <formula>H5</formula>
    </cfRule>
  </conditionalFormatting>
  <conditionalFormatting sqref="U5:U12 H5:H15 AH5:AH12 AH29:AH35 AU29:AU35 BH29:BH36 H49:H69 H81 AH86:AH94">
    <cfRule type="cellIs" dxfId="41" priority="133" operator="lessThan">
      <formula>F5</formula>
    </cfRule>
    <cfRule type="cellIs" dxfId="40" priority="134" operator="greaterThanOrEqual">
      <formula>F5</formula>
    </cfRule>
  </conditionalFormatting>
  <conditionalFormatting sqref="S29:S37">
    <cfRule type="cellIs" dxfId="39" priority="99" operator="lessThan">
      <formula>U29</formula>
    </cfRule>
    <cfRule type="cellIs" dxfId="38" priority="100" operator="greaterThanOrEqual">
      <formula>U29</formula>
    </cfRule>
  </conditionalFormatting>
  <conditionalFormatting sqref="U29:U37">
    <cfRule type="cellIs" dxfId="37" priority="97" operator="lessThan">
      <formula>S29</formula>
    </cfRule>
    <cfRule type="cellIs" dxfId="36" priority="98" operator="greaterThanOrEqual">
      <formula>S29</formula>
    </cfRule>
  </conditionalFormatting>
  <conditionalFormatting sqref="F29:F34">
    <cfRule type="cellIs" dxfId="35" priority="103" operator="lessThan">
      <formula>H29</formula>
    </cfRule>
    <cfRule type="cellIs" dxfId="34" priority="104" operator="greaterThanOrEqual">
      <formula>H29</formula>
    </cfRule>
  </conditionalFormatting>
  <conditionalFormatting sqref="H29:H34">
    <cfRule type="cellIs" dxfId="33" priority="101" operator="lessThan">
      <formula>F29</formula>
    </cfRule>
    <cfRule type="cellIs" dxfId="32" priority="102" operator="greaterThanOrEqual">
      <formula>F29</formula>
    </cfRule>
  </conditionalFormatting>
  <conditionalFormatting sqref="AS5:AS12">
    <cfRule type="cellIs" dxfId="31" priority="51" operator="lessThan">
      <formula>AU5</formula>
    </cfRule>
    <cfRule type="cellIs" dxfId="30" priority="52" operator="greaterThanOrEqual">
      <formula>AU5</formula>
    </cfRule>
  </conditionalFormatting>
  <conditionalFormatting sqref="AU5:AU12">
    <cfRule type="cellIs" dxfId="29" priority="49" operator="lessThan">
      <formula>AS5</formula>
    </cfRule>
    <cfRule type="cellIs" dxfId="28" priority="50" operator="greaterThanOrEqual">
      <formula>AS5</formula>
    </cfRule>
  </conditionalFormatting>
  <conditionalFormatting sqref="BF5:BF17">
    <cfRule type="cellIs" dxfId="27" priority="43" operator="lessThan">
      <formula>BH5</formula>
    </cfRule>
    <cfRule type="cellIs" dxfId="26" priority="44" operator="greaterThanOrEqual">
      <formula>BH5</formula>
    </cfRule>
  </conditionalFormatting>
  <conditionalFormatting sqref="BH5:BH17">
    <cfRule type="cellIs" dxfId="25" priority="41" operator="lessThan">
      <formula>BF5</formula>
    </cfRule>
    <cfRule type="cellIs" dxfId="24" priority="42" operator="greaterThanOrEqual">
      <formula>BF5</formula>
    </cfRule>
  </conditionalFormatting>
  <conditionalFormatting sqref="F86:F94">
    <cfRule type="cellIs" dxfId="23" priority="27" operator="lessThan">
      <formula>H86</formula>
    </cfRule>
    <cfRule type="cellIs" dxfId="22" priority="28" operator="greaterThanOrEqual">
      <formula>H86</formula>
    </cfRule>
  </conditionalFormatting>
  <conditionalFormatting sqref="H86:H94">
    <cfRule type="cellIs" dxfId="21" priority="25" operator="lessThan">
      <formula>F86</formula>
    </cfRule>
    <cfRule type="cellIs" dxfId="20" priority="26" operator="greaterThanOrEqual">
      <formula>F86</formula>
    </cfRule>
  </conditionalFormatting>
  <conditionalFormatting sqref="F106:F115">
    <cfRule type="cellIs" dxfId="19" priority="23" operator="lessThan">
      <formula>H106</formula>
    </cfRule>
    <cfRule type="cellIs" dxfId="18" priority="24" operator="greaterThanOrEqual">
      <formula>H106</formula>
    </cfRule>
  </conditionalFormatting>
  <conditionalFormatting sqref="H106:H115">
    <cfRule type="cellIs" dxfId="17" priority="21" operator="lessThan">
      <formula>F106</formula>
    </cfRule>
    <cfRule type="cellIs" dxfId="16" priority="22" operator="greaterThanOrEqual">
      <formula>F106</formula>
    </cfRule>
  </conditionalFormatting>
  <conditionalFormatting sqref="S49:S56">
    <cfRule type="cellIs" dxfId="15" priority="19" operator="lessThan">
      <formula>U49</formula>
    </cfRule>
    <cfRule type="cellIs" dxfId="14" priority="20" operator="greaterThanOrEqual">
      <formula>U49</formula>
    </cfRule>
  </conditionalFormatting>
  <conditionalFormatting sqref="U49:U56">
    <cfRule type="cellIs" dxfId="13" priority="17" operator="lessThan">
      <formula>S49</formula>
    </cfRule>
    <cfRule type="cellIs" dxfId="12" priority="18" operator="greaterThanOrEqual">
      <formula>S49</formula>
    </cfRule>
  </conditionalFormatting>
  <conditionalFormatting sqref="AF49:AF58">
    <cfRule type="cellIs" dxfId="11" priority="15" operator="lessThan">
      <formula>AH49</formula>
    </cfRule>
    <cfRule type="cellIs" dxfId="10" priority="16" operator="greaterThanOrEqual">
      <formula>AH49</formula>
    </cfRule>
  </conditionalFormatting>
  <conditionalFormatting sqref="AH49:AH58">
    <cfRule type="cellIs" dxfId="9" priority="13" operator="lessThan">
      <formula>AF49</formula>
    </cfRule>
    <cfRule type="cellIs" dxfId="8" priority="14" operator="greaterThanOrEqual">
      <formula>AF49</formula>
    </cfRule>
  </conditionalFormatting>
  <conditionalFormatting sqref="S86:S91">
    <cfRule type="cellIs" dxfId="7" priority="11" operator="lessThan">
      <formula>U86</formula>
    </cfRule>
    <cfRule type="cellIs" dxfId="6" priority="12" operator="greaterThanOrEqual">
      <formula>U86</formula>
    </cfRule>
  </conditionalFormatting>
  <conditionalFormatting sqref="U86:U91">
    <cfRule type="cellIs" dxfId="5" priority="9" operator="lessThan">
      <formula>S86</formula>
    </cfRule>
    <cfRule type="cellIs" dxfId="4" priority="10" operator="greaterThanOrEqual">
      <formula>S86</formula>
    </cfRule>
  </conditionalFormatting>
  <conditionalFormatting sqref="S106:S115">
    <cfRule type="cellIs" dxfId="3" priority="3" operator="lessThan">
      <formula>U106</formula>
    </cfRule>
    <cfRule type="cellIs" dxfId="2" priority="4" operator="greaterThanOrEqual">
      <formula>U106</formula>
    </cfRule>
  </conditionalFormatting>
  <conditionalFormatting sqref="U106:U115">
    <cfRule type="cellIs" dxfId="1" priority="1" operator="lessThan">
      <formula>S106</formula>
    </cfRule>
    <cfRule type="cellIs" dxfId="0" priority="2" operator="greaterThanOrEqual">
      <formula>S106</formula>
    </cfRule>
  </conditionalFormatting>
  <pageMargins left="0.70866141732283472" right="0.70866141732283472" top="0.78740157480314965" bottom="0.78740157480314965" header="0.31496062992125984" footer="0.31496062992125984"/>
  <pageSetup paperSize="9" scale="2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87"/>
  <sheetViews>
    <sheetView zoomScale="80" zoomScaleNormal="80" workbookViewId="0">
      <selection activeCell="B1" sqref="B1:AB1"/>
    </sheetView>
  </sheetViews>
  <sheetFormatPr baseColWidth="10" defaultRowHeight="15.75" outlineLevelRow="1"/>
  <cols>
    <col min="1" max="1" width="14.28515625" style="106" bestFit="1" customWidth="1"/>
    <col min="2" max="28" width="6.7109375" style="875" customWidth="1"/>
    <col min="29" max="29" width="8.7109375" style="957" customWidth="1"/>
    <col min="30" max="34" width="11.42578125" style="106"/>
    <col min="35" max="35" width="11.42578125" style="106" customWidth="1"/>
    <col min="36" max="16384" width="11.42578125" style="106"/>
  </cols>
  <sheetData>
    <row r="1" spans="1:36">
      <c r="A1" s="956"/>
      <c r="B1" s="1546" t="s">
        <v>11</v>
      </c>
      <c r="C1" s="1546"/>
      <c r="D1" s="1546"/>
      <c r="E1" s="1546"/>
      <c r="F1" s="1546"/>
      <c r="G1" s="1546"/>
      <c r="H1" s="1546"/>
      <c r="I1" s="1546"/>
      <c r="J1" s="1546"/>
      <c r="K1" s="1546"/>
      <c r="L1" s="1546"/>
      <c r="M1" s="1546"/>
      <c r="N1" s="1547"/>
      <c r="O1" s="1547"/>
      <c r="P1" s="1547"/>
      <c r="Q1" s="1547"/>
      <c r="R1" s="1547"/>
      <c r="S1" s="1547"/>
      <c r="T1" s="1547"/>
      <c r="U1" s="1547"/>
      <c r="V1" s="1547"/>
      <c r="W1" s="1547"/>
      <c r="X1" s="1547"/>
      <c r="Y1" s="1547"/>
      <c r="Z1" s="1547"/>
      <c r="AA1" s="1547"/>
      <c r="AB1" s="1547"/>
    </row>
    <row r="2" spans="1:36">
      <c r="A2" s="958"/>
      <c r="B2" s="959">
        <v>1</v>
      </c>
      <c r="C2" s="960">
        <v>2</v>
      </c>
      <c r="D2" s="961">
        <v>3</v>
      </c>
      <c r="E2" s="962">
        <v>4</v>
      </c>
      <c r="F2" s="959">
        <v>5</v>
      </c>
      <c r="G2" s="960">
        <v>6</v>
      </c>
      <c r="H2" s="959">
        <v>7</v>
      </c>
      <c r="I2" s="960">
        <v>8</v>
      </c>
      <c r="J2" s="959">
        <v>9</v>
      </c>
      <c r="K2" s="960">
        <v>10</v>
      </c>
      <c r="L2" s="959">
        <v>11</v>
      </c>
      <c r="M2" s="963">
        <v>12</v>
      </c>
      <c r="N2" s="959">
        <v>13</v>
      </c>
      <c r="O2" s="963">
        <v>14</v>
      </c>
      <c r="P2" s="963">
        <v>15</v>
      </c>
      <c r="Q2" s="963">
        <v>16</v>
      </c>
      <c r="R2" s="960">
        <v>17</v>
      </c>
      <c r="S2" s="964">
        <v>18</v>
      </c>
      <c r="T2" s="964">
        <v>19</v>
      </c>
      <c r="U2" s="964">
        <v>20</v>
      </c>
      <c r="V2" s="964">
        <v>21</v>
      </c>
      <c r="W2" s="964">
        <v>22</v>
      </c>
      <c r="X2" s="963">
        <v>23</v>
      </c>
      <c r="Y2" s="963">
        <v>24</v>
      </c>
      <c r="Z2" s="963">
        <v>25</v>
      </c>
      <c r="AA2" s="963">
        <v>26</v>
      </c>
      <c r="AB2" s="960">
        <v>27</v>
      </c>
      <c r="AC2" s="965" t="s">
        <v>7</v>
      </c>
    </row>
    <row r="3" spans="1:36">
      <c r="A3" s="966" t="s">
        <v>97</v>
      </c>
      <c r="B3" s="967"/>
      <c r="C3" s="968"/>
      <c r="D3" s="962"/>
      <c r="E3" s="961"/>
      <c r="F3" s="968"/>
      <c r="G3" s="969"/>
      <c r="H3" s="967"/>
      <c r="I3" s="969"/>
      <c r="J3" s="967"/>
      <c r="K3" s="968"/>
      <c r="L3" s="962"/>
      <c r="M3" s="964"/>
      <c r="N3" s="967"/>
      <c r="O3" s="968"/>
      <c r="P3" s="968"/>
      <c r="Q3" s="968"/>
      <c r="R3" s="969"/>
      <c r="S3" s="962"/>
      <c r="T3" s="964"/>
      <c r="U3" s="964"/>
      <c r="V3" s="964"/>
      <c r="W3" s="961"/>
      <c r="X3" s="968"/>
      <c r="Y3" s="968"/>
      <c r="Z3" s="968"/>
      <c r="AA3" s="968"/>
      <c r="AB3" s="969"/>
      <c r="AC3" s="970"/>
    </row>
    <row r="4" spans="1:36">
      <c r="A4" s="971" t="s">
        <v>3</v>
      </c>
      <c r="B4" s="972">
        <f>B12+B20+B28+B36</f>
        <v>50</v>
      </c>
      <c r="C4" s="973">
        <f t="shared" ref="C4:M4" si="0">C12+C20+C28+C36</f>
        <v>50</v>
      </c>
      <c r="D4" s="974">
        <f t="shared" ref="D4:E6" si="1">D12+D20+D28+D36</f>
        <v>32</v>
      </c>
      <c r="E4" s="973">
        <f t="shared" si="1"/>
        <v>50</v>
      </c>
      <c r="F4" s="972">
        <f t="shared" si="0"/>
        <v>50</v>
      </c>
      <c r="G4" s="973">
        <f t="shared" si="0"/>
        <v>50</v>
      </c>
      <c r="H4" s="974">
        <f t="shared" si="0"/>
        <v>31</v>
      </c>
      <c r="I4" s="973">
        <f t="shared" si="0"/>
        <v>50</v>
      </c>
      <c r="J4" s="974">
        <f t="shared" si="0"/>
        <v>36</v>
      </c>
      <c r="K4" s="973">
        <f t="shared" si="0"/>
        <v>50</v>
      </c>
      <c r="L4" s="974">
        <f>L12+L20+L28+L36</f>
        <v>24</v>
      </c>
      <c r="M4" s="975">
        <f t="shared" si="0"/>
        <v>27</v>
      </c>
      <c r="N4" s="974">
        <f t="shared" ref="N4:AB4" si="2">N12+N20+N28+N36</f>
        <v>36</v>
      </c>
      <c r="O4" s="973">
        <f t="shared" si="2"/>
        <v>50</v>
      </c>
      <c r="P4" s="973">
        <f t="shared" si="2"/>
        <v>50</v>
      </c>
      <c r="Q4" s="973">
        <f t="shared" si="2"/>
        <v>50</v>
      </c>
      <c r="R4" s="228"/>
      <c r="S4" s="976">
        <f t="shared" si="2"/>
        <v>38</v>
      </c>
      <c r="T4" s="975">
        <f t="shared" si="2"/>
        <v>33</v>
      </c>
      <c r="U4" s="973">
        <f t="shared" si="2"/>
        <v>50</v>
      </c>
      <c r="V4" s="977">
        <f>V12+V20+V28+V36</f>
        <v>41</v>
      </c>
      <c r="W4" s="1296"/>
      <c r="X4" s="975">
        <f t="shared" si="2"/>
        <v>32</v>
      </c>
      <c r="Y4" s="973">
        <f t="shared" si="2"/>
        <v>50</v>
      </c>
      <c r="Z4" s="973">
        <f t="shared" si="2"/>
        <v>50</v>
      </c>
      <c r="AA4" s="977">
        <f t="shared" si="2"/>
        <v>40</v>
      </c>
      <c r="AB4" s="978">
        <f t="shared" si="2"/>
        <v>50</v>
      </c>
      <c r="AC4" s="979">
        <f>SUM(B4:AB4)</f>
        <v>1070</v>
      </c>
      <c r="AJ4" s="421"/>
    </row>
    <row r="5" spans="1:36">
      <c r="A5" s="971" t="s">
        <v>4</v>
      </c>
      <c r="B5" s="980">
        <f t="shared" ref="B5:M5" si="3">B13+B21+B29+B37</f>
        <v>10</v>
      </c>
      <c r="C5" s="981">
        <f t="shared" si="3"/>
        <v>10</v>
      </c>
      <c r="D5" s="980">
        <f t="shared" si="1"/>
        <v>6</v>
      </c>
      <c r="E5" s="981">
        <f t="shared" si="1"/>
        <v>7</v>
      </c>
      <c r="F5" s="980">
        <f t="shared" si="3"/>
        <v>9</v>
      </c>
      <c r="G5" s="981">
        <f t="shared" si="3"/>
        <v>7</v>
      </c>
      <c r="H5" s="980">
        <f t="shared" si="3"/>
        <v>5</v>
      </c>
      <c r="I5" s="981">
        <f t="shared" si="3"/>
        <v>7</v>
      </c>
      <c r="J5" s="980">
        <f t="shared" si="3"/>
        <v>14</v>
      </c>
      <c r="K5" s="981">
        <f t="shared" si="3"/>
        <v>9</v>
      </c>
      <c r="L5" s="980">
        <f>L13+L21+L29+L37</f>
        <v>5</v>
      </c>
      <c r="M5" s="981">
        <f t="shared" si="3"/>
        <v>8</v>
      </c>
      <c r="N5" s="982">
        <f t="shared" ref="N5:AB5" si="4">N13+N21+N29+N37</f>
        <v>8</v>
      </c>
      <c r="O5" s="981">
        <f t="shared" si="4"/>
        <v>7</v>
      </c>
      <c r="P5" s="981">
        <f t="shared" si="4"/>
        <v>17</v>
      </c>
      <c r="Q5" s="981">
        <f t="shared" si="4"/>
        <v>10</v>
      </c>
      <c r="R5" s="983"/>
      <c r="S5" s="982">
        <f t="shared" si="4"/>
        <v>8</v>
      </c>
      <c r="T5" s="981">
        <f t="shared" si="4"/>
        <v>6</v>
      </c>
      <c r="U5" s="981">
        <f t="shared" si="4"/>
        <v>12</v>
      </c>
      <c r="V5" s="981">
        <f>V13+V21+V29+V37</f>
        <v>10</v>
      </c>
      <c r="W5" s="983"/>
      <c r="X5" s="981">
        <f t="shared" si="4"/>
        <v>10</v>
      </c>
      <c r="Y5" s="981">
        <f t="shared" si="4"/>
        <v>8</v>
      </c>
      <c r="Z5" s="981">
        <f t="shared" si="4"/>
        <v>8</v>
      </c>
      <c r="AA5" s="981">
        <f t="shared" si="4"/>
        <v>8</v>
      </c>
      <c r="AB5" s="984">
        <f t="shared" si="4"/>
        <v>13</v>
      </c>
      <c r="AC5" s="985">
        <f>SUM(B5:AB5)</f>
        <v>222</v>
      </c>
      <c r="AJ5" s="421"/>
    </row>
    <row r="6" spans="1:36">
      <c r="A6" s="971" t="s">
        <v>6</v>
      </c>
      <c r="B6" s="980">
        <f t="shared" ref="B6:M6" si="5">B14+B22+B30+B38</f>
        <v>2</v>
      </c>
      <c r="C6" s="973">
        <f t="shared" si="5"/>
        <v>0</v>
      </c>
      <c r="D6" s="980">
        <f t="shared" si="1"/>
        <v>1</v>
      </c>
      <c r="E6" s="986">
        <f t="shared" si="1"/>
        <v>1</v>
      </c>
      <c r="F6" s="980">
        <f t="shared" si="5"/>
        <v>1</v>
      </c>
      <c r="G6" s="986">
        <f t="shared" si="5"/>
        <v>1</v>
      </c>
      <c r="H6" s="980">
        <f t="shared" si="5"/>
        <v>1</v>
      </c>
      <c r="I6" s="986">
        <f t="shared" si="5"/>
        <v>1</v>
      </c>
      <c r="J6" s="980">
        <f t="shared" si="5"/>
        <v>3</v>
      </c>
      <c r="K6" s="986">
        <f t="shared" si="5"/>
        <v>2</v>
      </c>
      <c r="L6" s="982">
        <f>L14+L22+L30+L38</f>
        <v>1</v>
      </c>
      <c r="M6" s="981">
        <f t="shared" si="5"/>
        <v>2</v>
      </c>
      <c r="N6" s="982">
        <f t="shared" ref="N6:AB6" si="6">N14+N22+N30+N38</f>
        <v>2</v>
      </c>
      <c r="O6" s="973">
        <f t="shared" si="6"/>
        <v>0</v>
      </c>
      <c r="P6" s="981">
        <f t="shared" si="6"/>
        <v>3</v>
      </c>
      <c r="Q6" s="981">
        <f t="shared" si="6"/>
        <v>1</v>
      </c>
      <c r="R6" s="983"/>
      <c r="S6" s="982">
        <f t="shared" si="6"/>
        <v>2</v>
      </c>
      <c r="T6" s="981">
        <f t="shared" si="6"/>
        <v>1</v>
      </c>
      <c r="U6" s="981">
        <f t="shared" si="6"/>
        <v>2</v>
      </c>
      <c r="V6" s="981">
        <f>V14+V22+V30+V38</f>
        <v>2</v>
      </c>
      <c r="W6" s="983"/>
      <c r="X6" s="981">
        <f t="shared" si="6"/>
        <v>4</v>
      </c>
      <c r="Y6" s="981">
        <f t="shared" si="6"/>
        <v>1</v>
      </c>
      <c r="Z6" s="973">
        <f t="shared" si="6"/>
        <v>0</v>
      </c>
      <c r="AA6" s="981">
        <f t="shared" si="6"/>
        <v>2</v>
      </c>
      <c r="AB6" s="984">
        <f t="shared" si="6"/>
        <v>1</v>
      </c>
      <c r="AC6" s="987">
        <f>SUM(B6:AB6)</f>
        <v>37</v>
      </c>
      <c r="AJ6" s="421"/>
    </row>
    <row r="7" spans="1:36">
      <c r="A7" s="971" t="s">
        <v>12</v>
      </c>
      <c r="B7" s="988">
        <f t="shared" ref="B7:M7" si="7">B6/B5</f>
        <v>0.2</v>
      </c>
      <c r="C7" s="989">
        <f t="shared" si="7"/>
        <v>0</v>
      </c>
      <c r="D7" s="988">
        <f t="shared" si="7"/>
        <v>0.16666666666666666</v>
      </c>
      <c r="E7" s="990">
        <f t="shared" si="7"/>
        <v>0.14285714285714285</v>
      </c>
      <c r="F7" s="988">
        <f t="shared" si="7"/>
        <v>0.1111111111111111</v>
      </c>
      <c r="G7" s="990">
        <f t="shared" si="7"/>
        <v>0.14285714285714285</v>
      </c>
      <c r="H7" s="988">
        <f t="shared" si="7"/>
        <v>0.2</v>
      </c>
      <c r="I7" s="990">
        <f t="shared" si="7"/>
        <v>0.14285714285714285</v>
      </c>
      <c r="J7" s="988">
        <f t="shared" si="7"/>
        <v>0.21428571428571427</v>
      </c>
      <c r="K7" s="990">
        <f t="shared" si="7"/>
        <v>0.22222222222222221</v>
      </c>
      <c r="L7" s="991">
        <f t="shared" si="7"/>
        <v>0.2</v>
      </c>
      <c r="M7" s="992">
        <f t="shared" si="7"/>
        <v>0.25</v>
      </c>
      <c r="N7" s="993">
        <f t="shared" ref="N7:AB7" si="8">N6/N5</f>
        <v>0.25</v>
      </c>
      <c r="O7" s="989">
        <f t="shared" si="8"/>
        <v>0</v>
      </c>
      <c r="P7" s="992">
        <f t="shared" si="8"/>
        <v>0.17647058823529413</v>
      </c>
      <c r="Q7" s="992">
        <f t="shared" si="8"/>
        <v>0.1</v>
      </c>
      <c r="R7" s="994"/>
      <c r="S7" s="993">
        <f t="shared" si="8"/>
        <v>0.25</v>
      </c>
      <c r="T7" s="992">
        <f t="shared" si="8"/>
        <v>0.16666666666666666</v>
      </c>
      <c r="U7" s="992">
        <f t="shared" si="8"/>
        <v>0.16666666666666666</v>
      </c>
      <c r="V7" s="992">
        <f>V6/V5</f>
        <v>0.2</v>
      </c>
      <c r="W7" s="994"/>
      <c r="X7" s="992">
        <f t="shared" si="8"/>
        <v>0.4</v>
      </c>
      <c r="Y7" s="992">
        <f t="shared" si="8"/>
        <v>0.125</v>
      </c>
      <c r="Z7" s="989">
        <f t="shared" si="8"/>
        <v>0</v>
      </c>
      <c r="AA7" s="992">
        <f t="shared" si="8"/>
        <v>0.25</v>
      </c>
      <c r="AB7" s="995">
        <f t="shared" si="8"/>
        <v>7.6923076923076927E-2</v>
      </c>
      <c r="AC7" s="996">
        <f>AC6/AC5</f>
        <v>0.16666666666666666</v>
      </c>
      <c r="AJ7" s="421"/>
    </row>
    <row r="8" spans="1:36">
      <c r="A8" s="971" t="s">
        <v>5</v>
      </c>
      <c r="B8" s="997">
        <f>(B16+B24+B32+B40)/4</f>
        <v>4.5833333333333339</v>
      </c>
      <c r="C8" s="998">
        <f t="shared" ref="C8:M8" si="9">(C16+C24+C32+C40)/4</f>
        <v>4.9166666666666661</v>
      </c>
      <c r="D8" s="997">
        <f>(D16+D24+D32+D40)/4</f>
        <v>6</v>
      </c>
      <c r="E8" s="998">
        <f>(E16+E24+E32+E40)/4</f>
        <v>6.875</v>
      </c>
      <c r="F8" s="997">
        <f t="shared" si="9"/>
        <v>5.9166666666666661</v>
      </c>
      <c r="G8" s="998">
        <f t="shared" si="9"/>
        <v>7.625</v>
      </c>
      <c r="H8" s="997">
        <f t="shared" si="9"/>
        <v>5.25</v>
      </c>
      <c r="I8" s="998">
        <f t="shared" si="9"/>
        <v>7.625</v>
      </c>
      <c r="J8" s="997">
        <f t="shared" si="9"/>
        <v>2.0416666666666665</v>
      </c>
      <c r="K8" s="998">
        <f t="shared" si="9"/>
        <v>5.291666666666667</v>
      </c>
      <c r="L8" s="999">
        <f>(L16+L24+L32+L40)/4</f>
        <v>4.5</v>
      </c>
      <c r="M8" s="998">
        <f t="shared" si="9"/>
        <v>3.375</v>
      </c>
      <c r="N8" s="997">
        <f t="shared" ref="N8:AB8" si="10">(N16+N24+N32+N40)/4</f>
        <v>4.5</v>
      </c>
      <c r="O8" s="998">
        <f t="shared" si="10"/>
        <v>6.625</v>
      </c>
      <c r="P8" s="998">
        <f t="shared" si="10"/>
        <v>2.875</v>
      </c>
      <c r="Q8" s="998">
        <f t="shared" si="10"/>
        <v>5.041666666666667</v>
      </c>
      <c r="R8" s="1000"/>
      <c r="S8" s="997">
        <f t="shared" si="10"/>
        <v>4.75</v>
      </c>
      <c r="T8" s="998">
        <f t="shared" si="10"/>
        <v>4.75</v>
      </c>
      <c r="U8" s="998">
        <f t="shared" si="10"/>
        <v>4.1666666666666661</v>
      </c>
      <c r="V8" s="998">
        <f>(V16+V24+V32+V40)/4</f>
        <v>4.416666666666667</v>
      </c>
      <c r="W8" s="1000"/>
      <c r="X8" s="998">
        <f t="shared" si="10"/>
        <v>2.9166666666666665</v>
      </c>
      <c r="Y8" s="998">
        <f t="shared" si="10"/>
        <v>6.25</v>
      </c>
      <c r="Z8" s="998">
        <f t="shared" si="10"/>
        <v>6.25</v>
      </c>
      <c r="AA8" s="998">
        <f t="shared" si="10"/>
        <v>5</v>
      </c>
      <c r="AB8" s="1001">
        <f t="shared" si="10"/>
        <v>3.8541666666666665</v>
      </c>
      <c r="AC8" s="1002">
        <f>AC4/AC5</f>
        <v>4.8198198198198199</v>
      </c>
      <c r="AJ8" s="421"/>
    </row>
    <row r="9" spans="1:36">
      <c r="A9" s="1003" t="s">
        <v>8</v>
      </c>
      <c r="B9" s="1004">
        <f>(B17+B25+B33+B41)/4</f>
        <v>6.041666666666667</v>
      </c>
      <c r="C9" s="1005">
        <f t="shared" ref="C9:M9" si="11">(C17+C25+C33+C41)/4</f>
        <v>4.9166666666666661</v>
      </c>
      <c r="D9" s="1004">
        <f>(D17+D25+D33+D41)/4</f>
        <v>4.25</v>
      </c>
      <c r="E9" s="1005">
        <f>(E17+E25+E33+E41)/4</f>
        <v>7.875</v>
      </c>
      <c r="F9" s="1004">
        <f t="shared" si="11"/>
        <v>6.25</v>
      </c>
      <c r="G9" s="1005">
        <f t="shared" si="11"/>
        <v>7.875</v>
      </c>
      <c r="H9" s="1004">
        <f t="shared" si="11"/>
        <v>5.25</v>
      </c>
      <c r="I9" s="1005">
        <f t="shared" si="11"/>
        <v>8.5</v>
      </c>
      <c r="J9" s="1004">
        <f t="shared" si="11"/>
        <v>2.0625</v>
      </c>
      <c r="K9" s="1005">
        <f t="shared" si="11"/>
        <v>6.166666666666667</v>
      </c>
      <c r="L9" s="999">
        <f>(L17+L25+L33+L41)/4</f>
        <v>4.5</v>
      </c>
      <c r="M9" s="998">
        <f t="shared" si="11"/>
        <v>4.375</v>
      </c>
      <c r="N9" s="1004">
        <f t="shared" ref="N9:AB9" si="12">(N17+N25+N33+N41)/4</f>
        <v>6.25</v>
      </c>
      <c r="O9" s="1005">
        <f t="shared" si="12"/>
        <v>6.625</v>
      </c>
      <c r="P9" s="1005">
        <f t="shared" si="12"/>
        <v>3.25</v>
      </c>
      <c r="Q9" s="1005">
        <f t="shared" si="12"/>
        <v>5.416666666666667</v>
      </c>
      <c r="R9" s="1006"/>
      <c r="S9" s="1004">
        <f t="shared" si="12"/>
        <v>5.5</v>
      </c>
      <c r="T9" s="1005">
        <f t="shared" si="12"/>
        <v>4.75</v>
      </c>
      <c r="U9" s="1005">
        <f t="shared" si="12"/>
        <v>5.083333333333333</v>
      </c>
      <c r="V9" s="1005">
        <f>(V17+V25+V33+V41)/4</f>
        <v>4.75</v>
      </c>
      <c r="W9" s="1006"/>
      <c r="X9" s="998">
        <f t="shared" si="12"/>
        <v>4.75</v>
      </c>
      <c r="Y9" s="998">
        <f t="shared" si="12"/>
        <v>7.75</v>
      </c>
      <c r="Z9" s="998">
        <f t="shared" si="12"/>
        <v>6.25</v>
      </c>
      <c r="AA9" s="998">
        <f t="shared" si="12"/>
        <v>7</v>
      </c>
      <c r="AB9" s="1001">
        <f t="shared" si="12"/>
        <v>4.166666666666667</v>
      </c>
      <c r="AC9" s="1007">
        <f>AC4/(AC5-AC6)</f>
        <v>5.7837837837837842</v>
      </c>
      <c r="AJ9" s="421"/>
    </row>
    <row r="10" spans="1:36" s="1008" customFormat="1" ht="5.0999999999999996" customHeight="1">
      <c r="B10" s="1009"/>
      <c r="C10" s="1010"/>
      <c r="D10" s="1011"/>
      <c r="E10" s="1012"/>
      <c r="F10" s="1009"/>
      <c r="G10" s="1010"/>
      <c r="H10" s="1009"/>
      <c r="I10" s="1010"/>
      <c r="J10" s="1009"/>
      <c r="K10" s="1010"/>
      <c r="L10" s="1013"/>
      <c r="M10" s="1014"/>
      <c r="N10" s="1015"/>
      <c r="O10" s="1016"/>
      <c r="P10" s="1016"/>
      <c r="Q10" s="1017"/>
      <c r="R10" s="1016"/>
      <c r="S10" s="1015"/>
      <c r="T10" s="1016"/>
      <c r="U10" s="1016"/>
      <c r="V10" s="1017"/>
      <c r="W10" s="1016"/>
      <c r="X10" s="1014"/>
      <c r="Y10" s="1014"/>
      <c r="Z10" s="1014"/>
      <c r="AA10" s="1014"/>
      <c r="AB10" s="1018"/>
      <c r="AC10" s="1019"/>
    </row>
    <row r="11" spans="1:36" hidden="1" outlineLevel="1">
      <c r="A11" s="1020" t="s">
        <v>0</v>
      </c>
      <c r="B11" s="1021"/>
      <c r="C11" s="1022"/>
      <c r="D11" s="1021"/>
      <c r="E11" s="1023"/>
      <c r="F11" s="1022"/>
      <c r="G11" s="1023"/>
      <c r="H11" s="1021"/>
      <c r="I11" s="1023"/>
      <c r="J11" s="1021"/>
      <c r="K11" s="1022"/>
      <c r="L11" s="1021"/>
      <c r="M11" s="1023"/>
      <c r="N11" s="1024"/>
      <c r="O11" s="434"/>
      <c r="P11" s="434"/>
      <c r="Q11" s="1025"/>
      <c r="R11" s="434"/>
      <c r="S11" s="1024"/>
      <c r="T11" s="434"/>
      <c r="U11" s="434"/>
      <c r="V11" s="1025"/>
      <c r="W11" s="434"/>
      <c r="X11" s="434"/>
      <c r="Y11" s="434"/>
      <c r="Z11" s="434"/>
      <c r="AA11" s="434"/>
      <c r="AB11" s="1025"/>
      <c r="AC11" s="1026"/>
    </row>
    <row r="12" spans="1:36" hidden="1" outlineLevel="1">
      <c r="A12" s="971" t="s">
        <v>3</v>
      </c>
      <c r="B12" s="1027">
        <f>'Spiel 1'!C15</f>
        <v>20</v>
      </c>
      <c r="C12" s="113">
        <f>'Spiel 1'!X15</f>
        <v>8</v>
      </c>
      <c r="D12" s="1028">
        <f>'Spiel 2'!I12</f>
        <v>2</v>
      </c>
      <c r="E12" s="1029">
        <f>'Spiel 2'!Q12</f>
        <v>20</v>
      </c>
      <c r="F12" s="113">
        <f>'Spiel 3'!D14</f>
        <v>19</v>
      </c>
      <c r="G12" s="1030">
        <f>'Spiel 3'!W14</f>
        <v>16</v>
      </c>
      <c r="H12" s="1027">
        <f>'Spiel 4'!K12</f>
        <v>0</v>
      </c>
      <c r="I12" s="1031">
        <f>'Spiel 4'!P12</f>
        <v>7</v>
      </c>
      <c r="J12" s="1028">
        <f>'Spiel 5'!C19</f>
        <v>25</v>
      </c>
      <c r="K12" s="113">
        <f>'Spiel 5'!X19</f>
        <v>20</v>
      </c>
      <c r="L12" s="1028">
        <f>'Spiel 6'!J13</f>
        <v>7</v>
      </c>
      <c r="M12" s="1030">
        <f>'Spiel 6'!O13</f>
        <v>14</v>
      </c>
      <c r="N12" s="1032">
        <f>'Spiel 7 - Viertelfinal'!J23</f>
        <v>8</v>
      </c>
      <c r="O12" s="115">
        <f>'Spiel 7 - Viertelfinal'!O23</f>
        <v>14</v>
      </c>
      <c r="P12" s="115">
        <f>'Spiel 7 - Viertelfinal'!AJ23</f>
        <v>28</v>
      </c>
      <c r="Q12" s="1030">
        <f>'Spiel 7 - Viertelfinal'!AO23</f>
        <v>20</v>
      </c>
      <c r="R12" s="115"/>
      <c r="S12" s="1032">
        <f>'Spiel 8 - Halbfinal'!B18</f>
        <v>21</v>
      </c>
      <c r="T12" s="115">
        <f>'Spiel 8 - Halbfinal'!W18</f>
        <v>17</v>
      </c>
      <c r="U12" s="115">
        <f>'Spiel 8 - Halbfinal'!AB18</f>
        <v>15</v>
      </c>
      <c r="V12" s="1030">
        <f>'Spiel 8 - Halbfinal'!AW18</f>
        <v>2</v>
      </c>
      <c r="W12" s="115"/>
      <c r="X12" s="115">
        <f>'Spiel 9 - Final'!J19</f>
        <v>11</v>
      </c>
      <c r="Y12" s="115">
        <f>'Spiel 9 - Final'!O19</f>
        <v>13</v>
      </c>
      <c r="Z12" s="115">
        <f>'Spiel 9 - Final'!AJ19</f>
        <v>7</v>
      </c>
      <c r="AA12" s="115">
        <f>'Spiel 9 - Final'!AO19</f>
        <v>12</v>
      </c>
      <c r="AB12" s="1031">
        <f>'Spiel 9 - Final'!BJ19</f>
        <v>18</v>
      </c>
      <c r="AC12" s="979">
        <f>SUM(B12:AB12)</f>
        <v>344</v>
      </c>
    </row>
    <row r="13" spans="1:36" hidden="1" outlineLevel="1">
      <c r="A13" s="971" t="s">
        <v>4</v>
      </c>
      <c r="B13" s="1027">
        <f>'Spiel 1'!C16</f>
        <v>3</v>
      </c>
      <c r="C13" s="113">
        <f>'Spiel 1'!X16</f>
        <v>2</v>
      </c>
      <c r="D13" s="1028">
        <f>'Spiel 2'!I13</f>
        <v>2</v>
      </c>
      <c r="E13" s="1029">
        <f>'Spiel 2'!Q13</f>
        <v>2</v>
      </c>
      <c r="F13" s="113">
        <f>'Spiel 3'!D15</f>
        <v>2</v>
      </c>
      <c r="G13" s="1030">
        <f>'Spiel 3'!W15</f>
        <v>2</v>
      </c>
      <c r="H13" s="1027">
        <f>'Spiel 4'!K13</f>
        <v>1</v>
      </c>
      <c r="I13" s="1031">
        <f>'Spiel 4'!P13</f>
        <v>2</v>
      </c>
      <c r="J13" s="1028">
        <f>'Spiel 5'!C20</f>
        <v>4</v>
      </c>
      <c r="K13" s="113">
        <f>'Spiel 5'!X20</f>
        <v>2</v>
      </c>
      <c r="L13" s="1028">
        <f>'Spiel 6'!J14</f>
        <v>1</v>
      </c>
      <c r="M13" s="1030">
        <f>'Spiel 6'!O14</f>
        <v>2</v>
      </c>
      <c r="N13" s="1032">
        <f>'Spiel 7 - Viertelfinal'!J24</f>
        <v>2</v>
      </c>
      <c r="O13" s="115">
        <f>'Spiel 7 - Viertelfinal'!O24</f>
        <v>2</v>
      </c>
      <c r="P13" s="115">
        <f>'Spiel 7 - Viertelfinal'!AJ24</f>
        <v>4</v>
      </c>
      <c r="Q13" s="1030">
        <f>'Spiel 7 - Viertelfinal'!AO24</f>
        <v>3</v>
      </c>
      <c r="R13" s="115"/>
      <c r="S13" s="1032">
        <f>'Spiel 8 - Halbfinal'!B19</f>
        <v>2</v>
      </c>
      <c r="T13" s="115">
        <f>'Spiel 8 - Halbfinal'!W19</f>
        <v>2</v>
      </c>
      <c r="U13" s="115">
        <f>'Spiel 8 - Halbfinal'!AB19</f>
        <v>3</v>
      </c>
      <c r="V13" s="1030">
        <f>'Spiel 8 - Halbfinal'!AW19</f>
        <v>3</v>
      </c>
      <c r="W13" s="115"/>
      <c r="X13" s="115">
        <f>'Spiel 9 - Final'!J20</f>
        <v>3</v>
      </c>
      <c r="Y13" s="115">
        <f>'Spiel 9 - Final'!O20</f>
        <v>2</v>
      </c>
      <c r="Z13" s="115">
        <f>'Spiel 9 - Final'!AJ20</f>
        <v>2</v>
      </c>
      <c r="AA13" s="115">
        <f>'Spiel 9 - Final'!AO20</f>
        <v>2</v>
      </c>
      <c r="AB13" s="1031">
        <f>'Spiel 9 - Final'!BJ20</f>
        <v>3</v>
      </c>
      <c r="AC13" s="985">
        <f>SUM(B13:AB13)</f>
        <v>58</v>
      </c>
    </row>
    <row r="14" spans="1:36" hidden="1" outlineLevel="1">
      <c r="A14" s="971" t="s">
        <v>6</v>
      </c>
      <c r="B14" s="1033">
        <f>'Spiel 1'!C17</f>
        <v>0</v>
      </c>
      <c r="C14" s="1034">
        <f>'Spiel 1'!X17</f>
        <v>0</v>
      </c>
      <c r="D14" s="1028">
        <f>'Spiel 2'!I14</f>
        <v>1</v>
      </c>
      <c r="E14" s="1035">
        <f>'Spiel 2'!Q14</f>
        <v>0</v>
      </c>
      <c r="F14" s="1034">
        <f>'Spiel 3'!D16</f>
        <v>0</v>
      </c>
      <c r="G14" s="1035">
        <f>'Spiel 3'!W16</f>
        <v>0</v>
      </c>
      <c r="H14" s="1027">
        <f>'Spiel 4'!K14</f>
        <v>1</v>
      </c>
      <c r="I14" s="1031">
        <f>'Spiel 4'!P14</f>
        <v>1</v>
      </c>
      <c r="J14" s="1033">
        <f>'Spiel 5'!C21</f>
        <v>0</v>
      </c>
      <c r="K14" s="1034">
        <f>'Spiel 5'!X21</f>
        <v>0</v>
      </c>
      <c r="L14" s="1033">
        <f>'Spiel 6'!J15</f>
        <v>0</v>
      </c>
      <c r="M14" s="1035">
        <f>'Spiel 6'!O15</f>
        <v>0</v>
      </c>
      <c r="N14" s="1032">
        <f>'Spiel 7 - Viertelfinal'!J25</f>
        <v>1</v>
      </c>
      <c r="O14" s="973">
        <f>'Spiel 7 - Viertelfinal'!O25</f>
        <v>0</v>
      </c>
      <c r="P14" s="973">
        <f>'Spiel 7 - Viertelfinal'!AJ25</f>
        <v>0</v>
      </c>
      <c r="Q14" s="978">
        <f>'Spiel 7 - Viertelfinal'!AO25</f>
        <v>0</v>
      </c>
      <c r="R14" s="973"/>
      <c r="S14" s="972">
        <f>'Spiel 8 - Halbfinal'!B20</f>
        <v>0</v>
      </c>
      <c r="T14" s="973">
        <f>'Spiel 8 - Halbfinal'!W20</f>
        <v>0</v>
      </c>
      <c r="U14" s="973">
        <f>'Spiel 8 - Halbfinal'!AB20</f>
        <v>0</v>
      </c>
      <c r="V14" s="1030">
        <f>'Spiel 8 - Halbfinal'!AW20</f>
        <v>2</v>
      </c>
      <c r="W14" s="115"/>
      <c r="X14" s="115">
        <f>'Spiel 9 - Final'!J21</f>
        <v>1</v>
      </c>
      <c r="Y14" s="973">
        <f>'Spiel 9 - Final'!O21</f>
        <v>0</v>
      </c>
      <c r="Z14" s="973">
        <f>'Spiel 9 - Final'!AJ21</f>
        <v>0</v>
      </c>
      <c r="AA14" s="973">
        <f>'Spiel 9 - Final'!AO21</f>
        <v>0</v>
      </c>
      <c r="AB14" s="978">
        <f>'Spiel 9 - Final'!BJ21</f>
        <v>0</v>
      </c>
      <c r="AC14" s="1036">
        <f>SUM(B14:AB14)</f>
        <v>7</v>
      </c>
    </row>
    <row r="15" spans="1:36" hidden="1" outlineLevel="1">
      <c r="A15" s="971" t="s">
        <v>12</v>
      </c>
      <c r="B15" s="1037">
        <f>'Spiel 1'!C18</f>
        <v>0</v>
      </c>
      <c r="C15" s="1038">
        <f>'Spiel 1'!X18</f>
        <v>0</v>
      </c>
      <c r="D15" s="1039">
        <f>'Spiel 2'!I15</f>
        <v>0.5</v>
      </c>
      <c r="E15" s="1040">
        <f>'Spiel 2'!Q15</f>
        <v>0</v>
      </c>
      <c r="F15" s="1038">
        <f>'Spiel 3'!D17</f>
        <v>0</v>
      </c>
      <c r="G15" s="1040">
        <f>'Spiel 3'!W17</f>
        <v>0</v>
      </c>
      <c r="H15" s="1039">
        <f>'Spiel 4'!K15</f>
        <v>1</v>
      </c>
      <c r="I15" s="1041">
        <f>'Spiel 4'!P15</f>
        <v>0.5</v>
      </c>
      <c r="J15" s="1037">
        <f>'Spiel 5'!C22</f>
        <v>0</v>
      </c>
      <c r="K15" s="1038">
        <f>'Spiel 5'!X22</f>
        <v>0</v>
      </c>
      <c r="L15" s="1037">
        <f>'Spiel 6'!J16</f>
        <v>0</v>
      </c>
      <c r="M15" s="1040">
        <f>'Spiel 6'!O16</f>
        <v>0</v>
      </c>
      <c r="N15" s="1039">
        <f>'Spiel 7 - Viertelfinal'!J26</f>
        <v>0.5</v>
      </c>
      <c r="O15" s="989">
        <f>'Spiel 7 - Viertelfinal'!O26</f>
        <v>0</v>
      </c>
      <c r="P15" s="989">
        <f>'Spiel 7 - Viertelfinal'!AJ26</f>
        <v>0</v>
      </c>
      <c r="Q15" s="1042">
        <f>'Spiel 7 - Viertelfinal'!AO26</f>
        <v>0</v>
      </c>
      <c r="R15" s="989"/>
      <c r="S15" s="1043">
        <f>'Spiel 8 - Halbfinal'!B21</f>
        <v>0</v>
      </c>
      <c r="T15" s="989">
        <f>'Spiel 8 - Halbfinal'!W21</f>
        <v>0</v>
      </c>
      <c r="U15" s="989">
        <f>'Spiel 8 - Halbfinal'!AB21</f>
        <v>0</v>
      </c>
      <c r="V15" s="1041">
        <f>'Spiel 8 - Halbfinal'!AW21</f>
        <v>0.66666666666666663</v>
      </c>
      <c r="W15" s="1044"/>
      <c r="X15" s="1044">
        <f>'Spiel 9 - Final'!J22</f>
        <v>0.33333333333333331</v>
      </c>
      <c r="Y15" s="989">
        <f>'Spiel 9 - Final'!O22</f>
        <v>0</v>
      </c>
      <c r="Z15" s="989">
        <f>'Spiel 9 - Final'!AJ22</f>
        <v>0</v>
      </c>
      <c r="AA15" s="989">
        <f>'Spiel 9 - Final'!AO22</f>
        <v>0</v>
      </c>
      <c r="AB15" s="1042">
        <f>'Spiel 9 - Final'!BJ22</f>
        <v>0</v>
      </c>
      <c r="AC15" s="996">
        <f>AC14/AC13</f>
        <v>0.1206896551724138</v>
      </c>
    </row>
    <row r="16" spans="1:36" hidden="1" outlineLevel="1">
      <c r="A16" s="971" t="s">
        <v>5</v>
      </c>
      <c r="B16" s="1045">
        <f>'Spiel 1'!C19</f>
        <v>6.666666666666667</v>
      </c>
      <c r="C16" s="1046">
        <f>'Spiel 1'!X19</f>
        <v>4</v>
      </c>
      <c r="D16" s="1047">
        <f>'Spiel 2'!I16</f>
        <v>1</v>
      </c>
      <c r="E16" s="1048">
        <f>'Spiel 2'!Q16</f>
        <v>10</v>
      </c>
      <c r="F16" s="1046">
        <f>'Spiel 3'!D18</f>
        <v>9.5</v>
      </c>
      <c r="G16" s="1049">
        <f>'Spiel 3'!W18</f>
        <v>8</v>
      </c>
      <c r="H16" s="1045">
        <f>'Spiel 4'!K16</f>
        <v>0</v>
      </c>
      <c r="I16" s="1050">
        <f>'Spiel 4'!P16</f>
        <v>3.5</v>
      </c>
      <c r="J16" s="1047">
        <f>'Spiel 5'!C23</f>
        <v>6.25</v>
      </c>
      <c r="K16" s="1046">
        <f>'Spiel 5'!X23</f>
        <v>10</v>
      </c>
      <c r="L16" s="1047">
        <f>'Spiel 6'!J17</f>
        <v>7</v>
      </c>
      <c r="M16" s="1049">
        <f>'Spiel 6'!O17</f>
        <v>7</v>
      </c>
      <c r="N16" s="1051">
        <f>'Spiel 7 - Viertelfinal'!J27</f>
        <v>4</v>
      </c>
      <c r="O16" s="1052">
        <f>'Spiel 7 - Viertelfinal'!O27</f>
        <v>7</v>
      </c>
      <c r="P16" s="1052">
        <f>'Spiel 7 - Viertelfinal'!AJ27</f>
        <v>7</v>
      </c>
      <c r="Q16" s="1049">
        <f>'Spiel 7 - Viertelfinal'!AO27</f>
        <v>6.666666666666667</v>
      </c>
      <c r="R16" s="1052"/>
      <c r="S16" s="1051">
        <f>'Spiel 8 - Halbfinal'!B22</f>
        <v>10.5</v>
      </c>
      <c r="T16" s="1052">
        <f>'Spiel 8 - Halbfinal'!W22</f>
        <v>8.5</v>
      </c>
      <c r="U16" s="1052">
        <f>'Spiel 8 - Halbfinal'!AB22</f>
        <v>5</v>
      </c>
      <c r="V16" s="1049">
        <f>'Spiel 8 - Halbfinal'!AW22</f>
        <v>0.66666666666666663</v>
      </c>
      <c r="W16" s="1052"/>
      <c r="X16" s="1052">
        <f>'Spiel 9 - Final'!J23</f>
        <v>3.6666666666666665</v>
      </c>
      <c r="Y16" s="1052">
        <f>'Spiel 9 - Final'!O23</f>
        <v>6.5</v>
      </c>
      <c r="Z16" s="1052">
        <f>'Spiel 9 - Final'!AJ23</f>
        <v>3.5</v>
      </c>
      <c r="AA16" s="1052">
        <f>'Spiel 9 - Final'!AO23</f>
        <v>6</v>
      </c>
      <c r="AB16" s="1050">
        <f>'Spiel 9 - Final'!BJ23</f>
        <v>6</v>
      </c>
      <c r="AC16" s="1002">
        <f>AC12/AC13</f>
        <v>5.931034482758621</v>
      </c>
    </row>
    <row r="17" spans="1:29" hidden="1" outlineLevel="1">
      <c r="A17" s="1003" t="s">
        <v>8</v>
      </c>
      <c r="B17" s="1053">
        <f>'Spiel 1'!C20</f>
        <v>6.666666666666667</v>
      </c>
      <c r="C17" s="1054">
        <f>'Spiel 1'!X20</f>
        <v>4</v>
      </c>
      <c r="D17" s="1055">
        <f>'Spiel 2'!I17</f>
        <v>2</v>
      </c>
      <c r="E17" s="1056">
        <f>'Spiel 2'!Q17</f>
        <v>10</v>
      </c>
      <c r="F17" s="1054">
        <f>'Spiel 3'!D19</f>
        <v>9.5</v>
      </c>
      <c r="G17" s="1057">
        <f>'Spiel 3'!W19</f>
        <v>8</v>
      </c>
      <c r="H17" s="1053">
        <f>'Spiel 4'!K17</f>
        <v>0</v>
      </c>
      <c r="I17" s="1058">
        <f>'Spiel 4'!P17</f>
        <v>7</v>
      </c>
      <c r="J17" s="1055">
        <f>'Spiel 5'!C24</f>
        <v>6.25</v>
      </c>
      <c r="K17" s="1054">
        <f>'Spiel 5'!X24</f>
        <v>10</v>
      </c>
      <c r="L17" s="1055">
        <f>'Spiel 6'!J18</f>
        <v>7</v>
      </c>
      <c r="M17" s="1057">
        <f>'Spiel 6'!O18</f>
        <v>7</v>
      </c>
      <c r="N17" s="1051">
        <f>'Spiel 7 - Viertelfinal'!J28</f>
        <v>8</v>
      </c>
      <c r="O17" s="1052">
        <f>'Spiel 7 - Viertelfinal'!O28</f>
        <v>7</v>
      </c>
      <c r="P17" s="1052">
        <f>'Spiel 7 - Viertelfinal'!AJ28</f>
        <v>7</v>
      </c>
      <c r="Q17" s="1049">
        <f>'Spiel 7 - Viertelfinal'!AO28</f>
        <v>6.666666666666667</v>
      </c>
      <c r="R17" s="1052"/>
      <c r="S17" s="1051">
        <f>'Spiel 8 - Halbfinal'!B23</f>
        <v>10.5</v>
      </c>
      <c r="T17" s="1052">
        <f>'Spiel 8 - Halbfinal'!W23</f>
        <v>8.5</v>
      </c>
      <c r="U17" s="1052">
        <f>'Spiel 8 - Halbfinal'!AB23</f>
        <v>5</v>
      </c>
      <c r="V17" s="1049">
        <f>'Spiel 8 - Halbfinal'!AW23</f>
        <v>2</v>
      </c>
      <c r="W17" s="1052"/>
      <c r="X17" s="1052">
        <f>'Spiel 9 - Final'!J24</f>
        <v>5.5</v>
      </c>
      <c r="Y17" s="1052">
        <f>'Spiel 9 - Final'!O24</f>
        <v>6.5</v>
      </c>
      <c r="Z17" s="1052">
        <f>'Spiel 9 - Final'!AJ24</f>
        <v>3.5</v>
      </c>
      <c r="AA17" s="1052">
        <f>'Spiel 9 - Final'!AO24</f>
        <v>6</v>
      </c>
      <c r="AB17" s="1050">
        <f>'Spiel 9 - Final'!BJ24</f>
        <v>6</v>
      </c>
      <c r="AC17" s="1007">
        <f>AC12/(AC13-AC14)</f>
        <v>6.7450980392156863</v>
      </c>
    </row>
    <row r="18" spans="1:29" ht="5.0999999999999996" hidden="1" customHeight="1" outlineLevel="1">
      <c r="N18" s="1059"/>
      <c r="O18" s="1060"/>
      <c r="P18" s="1060"/>
      <c r="Q18" s="1061"/>
      <c r="R18" s="1060"/>
      <c r="S18" s="1059"/>
      <c r="T18" s="1060"/>
      <c r="U18" s="1060"/>
      <c r="V18" s="1061"/>
      <c r="W18" s="1060"/>
      <c r="X18" s="1060"/>
      <c r="Y18" s="1060"/>
      <c r="Z18" s="1060"/>
      <c r="AA18" s="1060"/>
      <c r="AB18" s="1061"/>
      <c r="AC18" s="1062"/>
    </row>
    <row r="19" spans="1:29" hidden="1" outlineLevel="1">
      <c r="A19" s="1020" t="s">
        <v>1</v>
      </c>
      <c r="B19" s="1021"/>
      <c r="C19" s="1022"/>
      <c r="D19" s="1021"/>
      <c r="E19" s="1023"/>
      <c r="F19" s="1022"/>
      <c r="G19" s="1023"/>
      <c r="H19" s="1021"/>
      <c r="I19" s="1023"/>
      <c r="J19" s="1021"/>
      <c r="K19" s="1022"/>
      <c r="L19" s="1021"/>
      <c r="M19" s="1023"/>
      <c r="N19" s="1024"/>
      <c r="O19" s="434"/>
      <c r="P19" s="434"/>
      <c r="Q19" s="1025"/>
      <c r="R19" s="434"/>
      <c r="S19" s="1024"/>
      <c r="T19" s="434"/>
      <c r="U19" s="434"/>
      <c r="V19" s="1025"/>
      <c r="W19" s="434"/>
      <c r="X19" s="434"/>
      <c r="Y19" s="434"/>
      <c r="Z19" s="434"/>
      <c r="AA19" s="434"/>
      <c r="AB19" s="1025"/>
      <c r="AC19" s="1026"/>
    </row>
    <row r="20" spans="1:29" hidden="1" outlineLevel="1">
      <c r="A20" s="971" t="s">
        <v>3</v>
      </c>
      <c r="B20" s="1027">
        <f>'Spiel 1'!E15</f>
        <v>5</v>
      </c>
      <c r="C20" s="113">
        <f>'Spiel 1'!V15</f>
        <v>19</v>
      </c>
      <c r="D20" s="1028">
        <f>'Spiel 2'!K12</f>
        <v>8</v>
      </c>
      <c r="E20" s="1029">
        <f>'Spiel 2'!O12</f>
        <v>8</v>
      </c>
      <c r="F20" s="113">
        <f>'Spiel 3'!B14</f>
        <v>8</v>
      </c>
      <c r="G20" s="1030">
        <f>'Spiel 3'!Y14</f>
        <v>11</v>
      </c>
      <c r="H20" s="1027">
        <f>'Spiel 4'!I12</f>
        <v>20</v>
      </c>
      <c r="I20" s="1031">
        <f>'Spiel 4'!R12</f>
        <v>11</v>
      </c>
      <c r="J20" s="1063">
        <f>'Spiel 5'!E19</f>
        <v>-21</v>
      </c>
      <c r="K20" s="113">
        <f>'Spiel 5'!V19</f>
        <v>23</v>
      </c>
      <c r="L20" s="1028">
        <f>'Spiel 6'!L13</f>
        <v>0</v>
      </c>
      <c r="M20" s="1030">
        <f>'Spiel 6'!Q13</f>
        <v>2</v>
      </c>
      <c r="N20" s="1032">
        <f>'Spiel 7 - Viertelfinal'!L23</f>
        <v>14</v>
      </c>
      <c r="O20" s="115">
        <f>'Spiel 7 - Viertelfinal'!Q23</f>
        <v>19</v>
      </c>
      <c r="P20" s="115">
        <f>'Spiel 7 - Viertelfinal'!AL23</f>
        <v>16</v>
      </c>
      <c r="Q20" s="1030">
        <f>'Spiel 7 - Viertelfinal'!AQ23</f>
        <v>7</v>
      </c>
      <c r="R20" s="115"/>
      <c r="S20" s="1032">
        <f>'Spiel 8 - Halbfinal'!D18</f>
        <v>4</v>
      </c>
      <c r="T20" s="115">
        <f>'Spiel 8 - Halbfinal'!Y18</f>
        <v>0</v>
      </c>
      <c r="U20" s="115">
        <f>'Spiel 8 - Halbfinal'!AD18</f>
        <v>8</v>
      </c>
      <c r="V20" s="1030">
        <f>'Spiel 8 - Halbfinal'!AY18</f>
        <v>14</v>
      </c>
      <c r="W20" s="115"/>
      <c r="X20" s="115">
        <f>'Spiel 9 - Final'!L19</f>
        <v>2</v>
      </c>
      <c r="Y20" s="115">
        <f>'Spiel 9 - Final'!Q19</f>
        <v>14</v>
      </c>
      <c r="Z20" s="115">
        <f>'Spiel 9 - Final'!AL19</f>
        <v>22</v>
      </c>
      <c r="AA20" s="115">
        <f>'Spiel 9 - Final'!AQ19</f>
        <v>12</v>
      </c>
      <c r="AB20" s="1031">
        <f>'Spiel 9 - Final'!BL19</f>
        <v>15</v>
      </c>
      <c r="AC20" s="987">
        <f>SUM(B20:AB20)</f>
        <v>241</v>
      </c>
    </row>
    <row r="21" spans="1:29" hidden="1" outlineLevel="1">
      <c r="A21" s="971" t="s">
        <v>4</v>
      </c>
      <c r="B21" s="1027">
        <f>'Spiel 1'!E16</f>
        <v>2</v>
      </c>
      <c r="C21" s="113">
        <f>'Spiel 1'!V16</f>
        <v>3</v>
      </c>
      <c r="D21" s="1028">
        <f>'Spiel 2'!K13</f>
        <v>1</v>
      </c>
      <c r="E21" s="1029">
        <f>'Spiel 2'!O13</f>
        <v>2</v>
      </c>
      <c r="F21" s="113">
        <f>'Spiel 3'!B15</f>
        <v>3</v>
      </c>
      <c r="G21" s="1030">
        <f>'Spiel 3'!Y15</f>
        <v>1</v>
      </c>
      <c r="H21" s="1027">
        <f>'Spiel 4'!I13</f>
        <v>2</v>
      </c>
      <c r="I21" s="1031">
        <f>'Spiel 4'!R13</f>
        <v>1</v>
      </c>
      <c r="J21" s="1028">
        <f>'Spiel 5'!E20</f>
        <v>3</v>
      </c>
      <c r="K21" s="113">
        <f>'Spiel 5'!V20</f>
        <v>3</v>
      </c>
      <c r="L21" s="1028">
        <f>'Spiel 6'!L14</f>
        <v>1</v>
      </c>
      <c r="M21" s="1030">
        <f>'Spiel 6'!Q14</f>
        <v>2</v>
      </c>
      <c r="N21" s="1032">
        <f>'Spiel 7 - Viertelfinal'!L24</f>
        <v>2</v>
      </c>
      <c r="O21" s="115">
        <f>'Spiel 7 - Viertelfinal'!Q24</f>
        <v>2</v>
      </c>
      <c r="P21" s="115">
        <f>'Spiel 7 - Viertelfinal'!AL24</f>
        <v>4</v>
      </c>
      <c r="Q21" s="1030">
        <f>'Spiel 7 - Viertelfinal'!AQ24</f>
        <v>2</v>
      </c>
      <c r="R21" s="115"/>
      <c r="S21" s="1032">
        <f>'Spiel 8 - Halbfinal'!D19</f>
        <v>2</v>
      </c>
      <c r="T21" s="115">
        <f>'Spiel 8 - Halbfinal'!Y19</f>
        <v>1</v>
      </c>
      <c r="U21" s="115">
        <f>'Spiel 8 - Halbfinal'!AD19</f>
        <v>3</v>
      </c>
      <c r="V21" s="1030">
        <f>'Spiel 8 - Halbfinal'!AY19</f>
        <v>2</v>
      </c>
      <c r="W21" s="115"/>
      <c r="X21" s="115">
        <f>'Spiel 9 - Final'!L20</f>
        <v>2</v>
      </c>
      <c r="Y21" s="115">
        <f>'Spiel 9 - Final'!Q20</f>
        <v>2</v>
      </c>
      <c r="Z21" s="115">
        <f>'Spiel 9 - Final'!AL20</f>
        <v>2</v>
      </c>
      <c r="AA21" s="115">
        <f>'Spiel 9 - Final'!AQ20</f>
        <v>2</v>
      </c>
      <c r="AB21" s="1031">
        <f>'Spiel 9 - Final'!BL20</f>
        <v>3</v>
      </c>
      <c r="AC21" s="985">
        <f>SUM(B21:AB21)</f>
        <v>53</v>
      </c>
    </row>
    <row r="22" spans="1:29" hidden="1" outlineLevel="1">
      <c r="A22" s="971" t="s">
        <v>6</v>
      </c>
      <c r="B22" s="972">
        <f>'Spiel 1'!E17</f>
        <v>0</v>
      </c>
      <c r="C22" s="973">
        <f>'Spiel 1'!V17</f>
        <v>0</v>
      </c>
      <c r="D22" s="972">
        <f>'Spiel 2'!K14</f>
        <v>0</v>
      </c>
      <c r="E22" s="1029">
        <f>'Spiel 2'!O14</f>
        <v>1</v>
      </c>
      <c r="F22" s="113">
        <f>'Spiel 3'!B16</f>
        <v>1</v>
      </c>
      <c r="G22" s="978">
        <f>'Spiel 3'!Y16</f>
        <v>0</v>
      </c>
      <c r="H22" s="972">
        <f>'Spiel 4'!I14</f>
        <v>0</v>
      </c>
      <c r="I22" s="978">
        <f>'Spiel 4'!R14</f>
        <v>0</v>
      </c>
      <c r="J22" s="1028">
        <f>'Spiel 5'!E21</f>
        <v>1</v>
      </c>
      <c r="K22" s="973">
        <f>'Spiel 5'!V21</f>
        <v>0</v>
      </c>
      <c r="L22" s="1028">
        <f>'Spiel 6'!L15</f>
        <v>1</v>
      </c>
      <c r="M22" s="1030">
        <f>'Spiel 6'!Q15</f>
        <v>1</v>
      </c>
      <c r="N22" s="972">
        <f>'Spiel 7 - Viertelfinal'!L25</f>
        <v>0</v>
      </c>
      <c r="O22" s="973">
        <f>'Spiel 7 - Viertelfinal'!Q25</f>
        <v>0</v>
      </c>
      <c r="P22" s="973">
        <f>'Spiel 7 - Viertelfinal'!AL25</f>
        <v>0</v>
      </c>
      <c r="Q22" s="978">
        <f>'Spiel 7 - Viertelfinal'!AQ25</f>
        <v>0</v>
      </c>
      <c r="R22" s="973"/>
      <c r="S22" s="1032">
        <f>'Spiel 8 - Halbfinal'!D20</f>
        <v>1</v>
      </c>
      <c r="T22" s="115">
        <f>'Spiel 8 - Halbfinal'!Y20</f>
        <v>1</v>
      </c>
      <c r="U22" s="115">
        <f>'Spiel 8 - Halbfinal'!AD20</f>
        <v>1</v>
      </c>
      <c r="V22" s="978">
        <f>'Spiel 8 - Halbfinal'!AY20</f>
        <v>0</v>
      </c>
      <c r="W22" s="973"/>
      <c r="X22" s="115">
        <f>'Spiel 9 - Final'!L21</f>
        <v>1</v>
      </c>
      <c r="Y22" s="973">
        <f>'Spiel 9 - Final'!Q21</f>
        <v>0</v>
      </c>
      <c r="Z22" s="973">
        <f>'Spiel 9 - Final'!AL21</f>
        <v>0</v>
      </c>
      <c r="AA22" s="973">
        <f>'Spiel 9 - Final'!AQ21</f>
        <v>0</v>
      </c>
      <c r="AB22" s="978">
        <f>'Spiel 9 - Final'!BL21</f>
        <v>0</v>
      </c>
      <c r="AC22" s="1036">
        <f>SUM(B22:AB22)</f>
        <v>9</v>
      </c>
    </row>
    <row r="23" spans="1:29" hidden="1" outlineLevel="1">
      <c r="A23" s="971" t="s">
        <v>12</v>
      </c>
      <c r="B23" s="1043">
        <f>'Spiel 1'!E18</f>
        <v>0</v>
      </c>
      <c r="C23" s="989">
        <f>'Spiel 1'!V18</f>
        <v>0</v>
      </c>
      <c r="D23" s="1043">
        <f>'Spiel 2'!K15</f>
        <v>0</v>
      </c>
      <c r="E23" s="1041">
        <f>'Spiel 2'!O15</f>
        <v>0.5</v>
      </c>
      <c r="F23" s="1044">
        <f>'Spiel 3'!B17</f>
        <v>0.33333333333333331</v>
      </c>
      <c r="G23" s="1042">
        <f>'Spiel 3'!Y17</f>
        <v>0</v>
      </c>
      <c r="H23" s="1043">
        <f>'Spiel 4'!I15</f>
        <v>0</v>
      </c>
      <c r="I23" s="1042">
        <f>'Spiel 4'!R15</f>
        <v>0</v>
      </c>
      <c r="J23" s="1039">
        <f>'Spiel 5'!E22</f>
        <v>0.33333333333333331</v>
      </c>
      <c r="K23" s="989">
        <f>'Spiel 5'!V22</f>
        <v>0</v>
      </c>
      <c r="L23" s="1039">
        <f>'Spiel 6'!L16</f>
        <v>1</v>
      </c>
      <c r="M23" s="1041">
        <f>'Spiel 6'!Q16</f>
        <v>0.5</v>
      </c>
      <c r="N23" s="1043">
        <f>'Spiel 7 - Viertelfinal'!L26</f>
        <v>0</v>
      </c>
      <c r="O23" s="989">
        <f>'Spiel 7 - Viertelfinal'!Q26</f>
        <v>0</v>
      </c>
      <c r="P23" s="989">
        <f>'Spiel 7 - Viertelfinal'!AL26</f>
        <v>0</v>
      </c>
      <c r="Q23" s="1042">
        <f>'Spiel 7 - Viertelfinal'!AQ26</f>
        <v>0</v>
      </c>
      <c r="R23" s="989"/>
      <c r="S23" s="1039">
        <f>'Spiel 8 - Halbfinal'!D21</f>
        <v>0.5</v>
      </c>
      <c r="T23" s="1044">
        <f>'Spiel 8 - Halbfinal'!Y21</f>
        <v>1</v>
      </c>
      <c r="U23" s="1044">
        <f>'Spiel 8 - Halbfinal'!AD21</f>
        <v>0.33333333333333331</v>
      </c>
      <c r="V23" s="1042">
        <f>'Spiel 8 - Halbfinal'!AY21</f>
        <v>0</v>
      </c>
      <c r="W23" s="989"/>
      <c r="X23" s="1044">
        <f>'Spiel 9 - Final'!L22</f>
        <v>0.5</v>
      </c>
      <c r="Y23" s="989">
        <f>'Spiel 9 - Final'!Q22</f>
        <v>0</v>
      </c>
      <c r="Z23" s="989">
        <f>'Spiel 9 - Final'!AL22</f>
        <v>0</v>
      </c>
      <c r="AA23" s="989">
        <f>'Spiel 9 - Final'!AQ22</f>
        <v>0</v>
      </c>
      <c r="AB23" s="1042">
        <f>'Spiel 9 - Final'!BL22</f>
        <v>0</v>
      </c>
      <c r="AC23" s="996">
        <f>AC22/AC21</f>
        <v>0.16981132075471697</v>
      </c>
    </row>
    <row r="24" spans="1:29" hidden="1" outlineLevel="1">
      <c r="A24" s="971" t="s">
        <v>5</v>
      </c>
      <c r="B24" s="1045">
        <f>'Spiel 1'!E19</f>
        <v>2.5</v>
      </c>
      <c r="C24" s="1046">
        <f>'Spiel 1'!V19</f>
        <v>6.333333333333333</v>
      </c>
      <c r="D24" s="1047">
        <f>'Spiel 2'!K16</f>
        <v>8</v>
      </c>
      <c r="E24" s="1048">
        <f>'Spiel 2'!O16</f>
        <v>4</v>
      </c>
      <c r="F24" s="1046">
        <f>'Spiel 3'!B18</f>
        <v>2.6666666666666665</v>
      </c>
      <c r="G24" s="1049">
        <f>'Spiel 3'!Y18</f>
        <v>11</v>
      </c>
      <c r="H24" s="1045">
        <f>'Spiel 4'!I16</f>
        <v>10</v>
      </c>
      <c r="I24" s="1050">
        <f>'Spiel 4'!R16</f>
        <v>11</v>
      </c>
      <c r="J24" s="1047">
        <f>'Spiel 5'!E23</f>
        <v>-7</v>
      </c>
      <c r="K24" s="1046">
        <f>'Spiel 5'!V23</f>
        <v>7.666666666666667</v>
      </c>
      <c r="L24" s="1047">
        <f>'Spiel 6'!L17</f>
        <v>0</v>
      </c>
      <c r="M24" s="1049">
        <f>'Spiel 6'!Q17</f>
        <v>1</v>
      </c>
      <c r="N24" s="1051">
        <f>'Spiel 7 - Viertelfinal'!L27</f>
        <v>7</v>
      </c>
      <c r="O24" s="1052">
        <f>'Spiel 7 - Viertelfinal'!Q27</f>
        <v>9.5</v>
      </c>
      <c r="P24" s="1052">
        <f>'Spiel 7 - Viertelfinal'!AL27</f>
        <v>4</v>
      </c>
      <c r="Q24" s="1049">
        <f>'Spiel 7 - Viertelfinal'!AQ27</f>
        <v>3.5</v>
      </c>
      <c r="R24" s="1052"/>
      <c r="S24" s="1051">
        <f>'Spiel 8 - Halbfinal'!D22</f>
        <v>2</v>
      </c>
      <c r="T24" s="1052">
        <f>'Spiel 8 - Halbfinal'!Y22</f>
        <v>0</v>
      </c>
      <c r="U24" s="1052">
        <f>'Spiel 8 - Halbfinal'!AD22</f>
        <v>2.6666666666666665</v>
      </c>
      <c r="V24" s="1049">
        <f>'Spiel 8 - Halbfinal'!AY22</f>
        <v>7</v>
      </c>
      <c r="W24" s="1052"/>
      <c r="X24" s="1052">
        <f>'Spiel 9 - Final'!L23</f>
        <v>1</v>
      </c>
      <c r="Y24" s="1052">
        <f>'Spiel 9 - Final'!Q23</f>
        <v>7</v>
      </c>
      <c r="Z24" s="1052">
        <f>'Spiel 9 - Final'!AL23</f>
        <v>11</v>
      </c>
      <c r="AA24" s="1052">
        <f>'Spiel 9 - Final'!AQ23</f>
        <v>6</v>
      </c>
      <c r="AB24" s="1050">
        <f>'Spiel 9 - Final'!BL23</f>
        <v>5</v>
      </c>
      <c r="AC24" s="1064">
        <f>AC20/AC21</f>
        <v>4.5471698113207548</v>
      </c>
    </row>
    <row r="25" spans="1:29" hidden="1" outlineLevel="1">
      <c r="A25" s="1003" t="s">
        <v>8</v>
      </c>
      <c r="B25" s="1053">
        <f>'Spiel 1'!E20</f>
        <v>2.5</v>
      </c>
      <c r="C25" s="1054">
        <f>'Spiel 1'!V20</f>
        <v>6.333333333333333</v>
      </c>
      <c r="D25" s="1055">
        <f>'Spiel 2'!K17</f>
        <v>0</v>
      </c>
      <c r="E25" s="1056">
        <f>'Spiel 2'!O17</f>
        <v>8</v>
      </c>
      <c r="F25" s="1054">
        <f>'Spiel 3'!B19</f>
        <v>4</v>
      </c>
      <c r="G25" s="1057">
        <f>'Spiel 3'!Y19</f>
        <v>11</v>
      </c>
      <c r="H25" s="1053">
        <f>'Spiel 4'!I17</f>
        <v>10</v>
      </c>
      <c r="I25" s="1058">
        <f>'Spiel 4'!R17</f>
        <v>11</v>
      </c>
      <c r="J25" s="1055">
        <f>'Spiel 5'!E24</f>
        <v>-10.5</v>
      </c>
      <c r="K25" s="1054">
        <f>'Spiel 5'!V24</f>
        <v>7.666666666666667</v>
      </c>
      <c r="L25" s="1055">
        <f>'Spiel 6'!L18</f>
        <v>0</v>
      </c>
      <c r="M25" s="1057">
        <f>'Spiel 6'!Q18</f>
        <v>2</v>
      </c>
      <c r="N25" s="1051">
        <f>'Spiel 7 - Viertelfinal'!L28</f>
        <v>7</v>
      </c>
      <c r="O25" s="1052">
        <f>'Spiel 7 - Viertelfinal'!Q28</f>
        <v>9.5</v>
      </c>
      <c r="P25" s="1052">
        <f>'Spiel 7 - Viertelfinal'!AL28</f>
        <v>4</v>
      </c>
      <c r="Q25" s="1049">
        <f>'Spiel 7 - Viertelfinal'!AQ28</f>
        <v>3.5</v>
      </c>
      <c r="R25" s="1052"/>
      <c r="S25" s="1051">
        <f>'Spiel 8 - Halbfinal'!D23</f>
        <v>4</v>
      </c>
      <c r="T25" s="1052">
        <f>'Spiel 8 - Halbfinal'!Y23</f>
        <v>0</v>
      </c>
      <c r="U25" s="1052">
        <f>'Spiel 8 - Halbfinal'!AD23</f>
        <v>4</v>
      </c>
      <c r="V25" s="1049">
        <f>'Spiel 8 - Halbfinal'!AY23</f>
        <v>7</v>
      </c>
      <c r="W25" s="1052"/>
      <c r="X25" s="1052">
        <f>'Spiel 9 - Final'!L24</f>
        <v>2</v>
      </c>
      <c r="Y25" s="1052">
        <f>'Spiel 9 - Final'!Q24</f>
        <v>7</v>
      </c>
      <c r="Z25" s="1052">
        <f>'Spiel 9 - Final'!AL24</f>
        <v>11</v>
      </c>
      <c r="AA25" s="1052">
        <f>'Spiel 9 - Final'!AQ24</f>
        <v>6</v>
      </c>
      <c r="AB25" s="1050">
        <f>'Spiel 9 - Final'!BL24</f>
        <v>5</v>
      </c>
      <c r="AC25" s="1007">
        <f>AC20/(AC21-AC22)</f>
        <v>5.4772727272727275</v>
      </c>
    </row>
    <row r="26" spans="1:29" ht="5.0999999999999996" hidden="1" customHeight="1" outlineLevel="1">
      <c r="N26" s="1059"/>
      <c r="O26" s="1060"/>
      <c r="P26" s="1060"/>
      <c r="Q26" s="1061"/>
      <c r="R26" s="1060"/>
      <c r="S26" s="1059"/>
      <c r="T26" s="1060"/>
      <c r="U26" s="1060"/>
      <c r="V26" s="1061"/>
      <c r="W26" s="1060"/>
      <c r="X26" s="1060"/>
      <c r="Y26" s="1060"/>
      <c r="Z26" s="1060"/>
      <c r="AA26" s="1060"/>
      <c r="AB26" s="1061"/>
      <c r="AC26" s="1062"/>
    </row>
    <row r="27" spans="1:29" hidden="1" outlineLevel="1">
      <c r="A27" s="1020" t="s">
        <v>53</v>
      </c>
      <c r="B27" s="1021"/>
      <c r="C27" s="1022"/>
      <c r="D27" s="1021"/>
      <c r="E27" s="1023"/>
      <c r="F27" s="1022"/>
      <c r="G27" s="1023"/>
      <c r="H27" s="1021"/>
      <c r="I27" s="1023"/>
      <c r="J27" s="1021"/>
      <c r="K27" s="1022"/>
      <c r="L27" s="1021"/>
      <c r="M27" s="1023"/>
      <c r="N27" s="1024"/>
      <c r="O27" s="434"/>
      <c r="P27" s="434"/>
      <c r="Q27" s="1025"/>
      <c r="R27" s="434"/>
      <c r="S27" s="1024"/>
      <c r="T27" s="434"/>
      <c r="U27" s="434"/>
      <c r="V27" s="1025"/>
      <c r="W27" s="434"/>
      <c r="X27" s="434"/>
      <c r="Y27" s="434"/>
      <c r="Z27" s="434"/>
      <c r="AA27" s="434"/>
      <c r="AB27" s="1025"/>
      <c r="AC27" s="1026"/>
    </row>
    <row r="28" spans="1:29" hidden="1" outlineLevel="1">
      <c r="A28" s="971" t="s">
        <v>3</v>
      </c>
      <c r="B28" s="1027">
        <f>'Spiel 1'!B15</f>
        <v>20</v>
      </c>
      <c r="C28" s="113">
        <f>'Spiel 1'!W15</f>
        <v>13</v>
      </c>
      <c r="D28" s="1028">
        <f>'Spiel 2'!L12</f>
        <v>8</v>
      </c>
      <c r="E28" s="1029">
        <f>'Spiel 2'!P12</f>
        <v>17</v>
      </c>
      <c r="F28" s="113">
        <f>'Spiel 3'!C14</f>
        <v>16</v>
      </c>
      <c r="G28" s="1030">
        <f>'Spiel 3'!V14</f>
        <v>2</v>
      </c>
      <c r="H28" s="1027">
        <f>'Spiel 4'!J12</f>
        <v>9</v>
      </c>
      <c r="I28" s="1031">
        <f>'Spiel 4'!O12</f>
        <v>16</v>
      </c>
      <c r="J28" s="1028">
        <f>'Spiel 5'!B19</f>
        <v>21</v>
      </c>
      <c r="K28" s="113">
        <f>'Spiel 5'!W19</f>
        <v>6</v>
      </c>
      <c r="L28" s="1028">
        <f>'Spiel 6'!I13</f>
        <v>12</v>
      </c>
      <c r="M28" s="1030">
        <f>'Spiel 6'!R13</f>
        <v>5</v>
      </c>
      <c r="N28" s="1032">
        <f>'Spiel 7 - Viertelfinal'!I23</f>
        <v>8</v>
      </c>
      <c r="O28" s="115">
        <f>'Spiel 7 - Viertelfinal'!R23</f>
        <v>3</v>
      </c>
      <c r="P28" s="115">
        <f>'Spiel 7 - Viertelfinal'!AI23</f>
        <v>20</v>
      </c>
      <c r="Q28" s="1030">
        <f>'Spiel 7 - Viertelfinal'!AR23</f>
        <v>14</v>
      </c>
      <c r="R28" s="115"/>
      <c r="S28" s="1032">
        <f>'Spiel 8 - Halbfinal'!E18</f>
        <v>11</v>
      </c>
      <c r="T28" s="115">
        <f>'Spiel 8 - Halbfinal'!V18</f>
        <v>11</v>
      </c>
      <c r="U28" s="115">
        <f>'Spiel 8 - Halbfinal'!AE18</f>
        <v>14</v>
      </c>
      <c r="V28" s="1030">
        <f>'Spiel 8 - Halbfinal'!AV18</f>
        <v>15</v>
      </c>
      <c r="W28" s="115"/>
      <c r="X28" s="115">
        <f>'Spiel 9 - Final'!I19</f>
        <v>15</v>
      </c>
      <c r="Y28" s="115">
        <f>'Spiel 9 - Final'!R19</f>
        <v>11</v>
      </c>
      <c r="Z28" s="115">
        <f>'Spiel 9 - Final'!AI19</f>
        <v>10</v>
      </c>
      <c r="AA28" s="115">
        <f>'Spiel 9 - Final'!AR19</f>
        <v>7</v>
      </c>
      <c r="AB28" s="1031">
        <f>'Spiel 9 - Final'!BI19</f>
        <v>15</v>
      </c>
      <c r="AC28" s="1036">
        <f>SUM(B28:AB28)</f>
        <v>299</v>
      </c>
    </row>
    <row r="29" spans="1:29" hidden="1" outlineLevel="1">
      <c r="A29" s="971" t="s">
        <v>4</v>
      </c>
      <c r="B29" s="1027">
        <f>'Spiel 1'!B16</f>
        <v>3</v>
      </c>
      <c r="C29" s="113">
        <f>'Spiel 1'!W16</f>
        <v>3</v>
      </c>
      <c r="D29" s="1028">
        <f>'Spiel 2'!L13</f>
        <v>1</v>
      </c>
      <c r="E29" s="1029">
        <f>'Spiel 2'!P13</f>
        <v>2</v>
      </c>
      <c r="F29" s="113">
        <f>'Spiel 3'!C15</f>
        <v>2</v>
      </c>
      <c r="G29" s="1030">
        <f>'Spiel 3'!V15</f>
        <v>2</v>
      </c>
      <c r="H29" s="1027">
        <f>'Spiel 4'!J13</f>
        <v>1</v>
      </c>
      <c r="I29" s="1031">
        <f>'Spiel 4'!O13</f>
        <v>2</v>
      </c>
      <c r="J29" s="1028">
        <f>'Spiel 5'!B20</f>
        <v>4</v>
      </c>
      <c r="K29" s="113">
        <f>'Spiel 5'!W20</f>
        <v>2</v>
      </c>
      <c r="L29" s="1028">
        <f>'Spiel 6'!I14</f>
        <v>2</v>
      </c>
      <c r="M29" s="1030">
        <f>'Spiel 6'!R14</f>
        <v>2</v>
      </c>
      <c r="N29" s="1032">
        <f>'Spiel 7 - Viertelfinal'!I24</f>
        <v>2</v>
      </c>
      <c r="O29" s="115">
        <f>'Spiel 7 - Viertelfinal'!R24</f>
        <v>1</v>
      </c>
      <c r="P29" s="115">
        <f>'Spiel 7 - Viertelfinal'!AI24</f>
        <v>5</v>
      </c>
      <c r="Q29" s="1030">
        <f>'Spiel 7 - Viertelfinal'!AR24</f>
        <v>2</v>
      </c>
      <c r="R29" s="115"/>
      <c r="S29" s="1032">
        <f>'Spiel 8 - Halbfinal'!E19</f>
        <v>2</v>
      </c>
      <c r="T29" s="115">
        <f>'Spiel 8 - Halbfinal'!V19</f>
        <v>2</v>
      </c>
      <c r="U29" s="115">
        <f>'Spiel 8 - Halbfinal'!AE19</f>
        <v>3</v>
      </c>
      <c r="V29" s="1030">
        <f>'Spiel 8 - Halbfinal'!AV19</f>
        <v>3</v>
      </c>
      <c r="W29" s="115"/>
      <c r="X29" s="115">
        <f>'Spiel 9 - Final'!I20</f>
        <v>3</v>
      </c>
      <c r="Y29" s="115">
        <f>'Spiel 9 - Final'!R20</f>
        <v>2</v>
      </c>
      <c r="Z29" s="115">
        <f>'Spiel 9 - Final'!AI20</f>
        <v>2</v>
      </c>
      <c r="AA29" s="115">
        <f>'Spiel 9 - Final'!AR20</f>
        <v>2</v>
      </c>
      <c r="AB29" s="1031">
        <f>'Spiel 9 - Final'!BI20</f>
        <v>4</v>
      </c>
      <c r="AC29" s="985">
        <f>SUM(B29:AB29)</f>
        <v>59</v>
      </c>
    </row>
    <row r="30" spans="1:29" hidden="1" outlineLevel="1">
      <c r="A30" s="971" t="s">
        <v>6</v>
      </c>
      <c r="B30" s="1027">
        <f>'Spiel 1'!B17</f>
        <v>1</v>
      </c>
      <c r="C30" s="973">
        <f>'Spiel 1'!W17</f>
        <v>0</v>
      </c>
      <c r="D30" s="972">
        <f>'Spiel 2'!L14</f>
        <v>0</v>
      </c>
      <c r="E30" s="978">
        <f>'Spiel 2'!P14</f>
        <v>0</v>
      </c>
      <c r="F30" s="973">
        <f>'Spiel 3'!C16</f>
        <v>0</v>
      </c>
      <c r="G30" s="1030">
        <f>'Spiel 3'!V16</f>
        <v>1</v>
      </c>
      <c r="H30" s="972">
        <f>'Spiel 4'!J14</f>
        <v>0</v>
      </c>
      <c r="I30" s="978">
        <f>'Spiel 4'!O14</f>
        <v>0</v>
      </c>
      <c r="J30" s="1028">
        <f>'Spiel 5'!B21</f>
        <v>1</v>
      </c>
      <c r="K30" s="113">
        <f>'Spiel 5'!W21</f>
        <v>1</v>
      </c>
      <c r="L30" s="972">
        <f>'Spiel 6'!I15</f>
        <v>0</v>
      </c>
      <c r="M30" s="978">
        <f>'Spiel 6'!R15</f>
        <v>0</v>
      </c>
      <c r="N30" s="972">
        <f>'Spiel 7 - Viertelfinal'!I25</f>
        <v>0</v>
      </c>
      <c r="O30" s="973">
        <f>'Spiel 7 - Viertelfinal'!R25</f>
        <v>0</v>
      </c>
      <c r="P30" s="115">
        <f>'Spiel 7 - Viertelfinal'!AI25</f>
        <v>2</v>
      </c>
      <c r="Q30" s="978">
        <f>'Spiel 7 - Viertelfinal'!AR25</f>
        <v>0</v>
      </c>
      <c r="R30" s="973"/>
      <c r="S30" s="972">
        <f>'Spiel 8 - Halbfinal'!E20</f>
        <v>0</v>
      </c>
      <c r="T30" s="973">
        <f>'Spiel 8 - Halbfinal'!V20</f>
        <v>0</v>
      </c>
      <c r="U30" s="115">
        <f>'Spiel 8 - Halbfinal'!AE20</f>
        <v>1</v>
      </c>
      <c r="V30" s="978">
        <f>'Spiel 8 - Halbfinal'!AV20</f>
        <v>0</v>
      </c>
      <c r="W30" s="973"/>
      <c r="X30" s="115">
        <f>'Spiel 9 - Final'!I21</f>
        <v>1</v>
      </c>
      <c r="Y30" s="973">
        <f>'Spiel 9 - Final'!R21</f>
        <v>0</v>
      </c>
      <c r="Z30" s="973">
        <f>'Spiel 9 - Final'!AI21</f>
        <v>0</v>
      </c>
      <c r="AA30" s="115">
        <f>'Spiel 9 - Final'!AR21</f>
        <v>1</v>
      </c>
      <c r="AB30" s="1031">
        <f>'Spiel 9 - Final'!BI21</f>
        <v>1</v>
      </c>
      <c r="AC30" s="987">
        <f>SUM(B30:AB30)</f>
        <v>10</v>
      </c>
    </row>
    <row r="31" spans="1:29" hidden="1" outlineLevel="1">
      <c r="A31" s="971" t="s">
        <v>12</v>
      </c>
      <c r="B31" s="1039">
        <f>'Spiel 1'!B18</f>
        <v>0.33333333333333331</v>
      </c>
      <c r="C31" s="989">
        <f>'Spiel 1'!W18</f>
        <v>0</v>
      </c>
      <c r="D31" s="1043">
        <f>'Spiel 2'!L15</f>
        <v>0</v>
      </c>
      <c r="E31" s="1042">
        <f>'Spiel 2'!P15</f>
        <v>0</v>
      </c>
      <c r="F31" s="989">
        <f>'Spiel 3'!C17</f>
        <v>0</v>
      </c>
      <c r="G31" s="1041">
        <f>'Spiel 3'!V17</f>
        <v>0.5</v>
      </c>
      <c r="H31" s="1043">
        <f>'Spiel 4'!J15</f>
        <v>0</v>
      </c>
      <c r="I31" s="1042">
        <f>'Spiel 4'!O15</f>
        <v>0</v>
      </c>
      <c r="J31" s="1039">
        <f>'Spiel 5'!B22</f>
        <v>0.25</v>
      </c>
      <c r="K31" s="1044">
        <f>'Spiel 5'!W22</f>
        <v>0.5</v>
      </c>
      <c r="L31" s="1043">
        <f>'Spiel 6'!I16</f>
        <v>0</v>
      </c>
      <c r="M31" s="1042">
        <f>'Spiel 6'!R16</f>
        <v>0</v>
      </c>
      <c r="N31" s="1043">
        <f>'Spiel 7 - Viertelfinal'!I26</f>
        <v>0</v>
      </c>
      <c r="O31" s="989">
        <f>'Spiel 7 - Viertelfinal'!R26</f>
        <v>0</v>
      </c>
      <c r="P31" s="1044">
        <f>'Spiel 7 - Viertelfinal'!AI26</f>
        <v>0.4</v>
      </c>
      <c r="Q31" s="1042">
        <f>'Spiel 7 - Viertelfinal'!AR26</f>
        <v>0</v>
      </c>
      <c r="R31" s="989"/>
      <c r="S31" s="1043">
        <f>'Spiel 8 - Halbfinal'!E21</f>
        <v>0</v>
      </c>
      <c r="T31" s="989">
        <f>'Spiel 8 - Halbfinal'!V21</f>
        <v>0</v>
      </c>
      <c r="U31" s="1044">
        <f>'Spiel 8 - Halbfinal'!AE21</f>
        <v>0.33333333333333331</v>
      </c>
      <c r="V31" s="1042">
        <f>'Spiel 8 - Halbfinal'!AV21</f>
        <v>0</v>
      </c>
      <c r="W31" s="989"/>
      <c r="X31" s="1044">
        <f>'Spiel 9 - Final'!I22</f>
        <v>0.33333333333333331</v>
      </c>
      <c r="Y31" s="989">
        <f>'Spiel 9 - Final'!R22</f>
        <v>0</v>
      </c>
      <c r="Z31" s="989">
        <f>'Spiel 9 - Final'!AI22</f>
        <v>0</v>
      </c>
      <c r="AA31" s="1044">
        <f>'Spiel 9 - Final'!AR22</f>
        <v>0.5</v>
      </c>
      <c r="AB31" s="1041">
        <f>'Spiel 9 - Final'!BI22</f>
        <v>0.25</v>
      </c>
      <c r="AC31" s="996">
        <f>AC30/AC29</f>
        <v>0.16949152542372881</v>
      </c>
    </row>
    <row r="32" spans="1:29" hidden="1" outlineLevel="1">
      <c r="A32" s="971" t="s">
        <v>5</v>
      </c>
      <c r="B32" s="1045">
        <f>'Spiel 1'!B19</f>
        <v>6.666666666666667</v>
      </c>
      <c r="C32" s="1046">
        <f>'Spiel 1'!W19</f>
        <v>4.333333333333333</v>
      </c>
      <c r="D32" s="1047">
        <f>'Spiel 2'!L16</f>
        <v>8</v>
      </c>
      <c r="E32" s="1048">
        <f>'Spiel 2'!P16</f>
        <v>8.5</v>
      </c>
      <c r="F32" s="1046">
        <f>'Spiel 3'!C18</f>
        <v>8</v>
      </c>
      <c r="G32" s="1049">
        <f>'Spiel 3'!V18</f>
        <v>1</v>
      </c>
      <c r="H32" s="1045">
        <f>'Spiel 4'!J16</f>
        <v>9</v>
      </c>
      <c r="I32" s="1050">
        <f>'Spiel 4'!O16</f>
        <v>8</v>
      </c>
      <c r="J32" s="1047">
        <f>'Spiel 5'!B23</f>
        <v>5.25</v>
      </c>
      <c r="K32" s="1046">
        <f>'Spiel 5'!W23</f>
        <v>3</v>
      </c>
      <c r="L32" s="1047">
        <f>'Spiel 6'!I17</f>
        <v>6</v>
      </c>
      <c r="M32" s="1049">
        <f>'Spiel 6'!R17</f>
        <v>2.5</v>
      </c>
      <c r="N32" s="1051">
        <f>'Spiel 7 - Viertelfinal'!I27</f>
        <v>4</v>
      </c>
      <c r="O32" s="1052">
        <f>'Spiel 7 - Viertelfinal'!R27</f>
        <v>3</v>
      </c>
      <c r="P32" s="1052">
        <f>'Spiel 7 - Viertelfinal'!AI27</f>
        <v>4</v>
      </c>
      <c r="Q32" s="1049">
        <f>'Spiel 7 - Viertelfinal'!AR27</f>
        <v>7</v>
      </c>
      <c r="R32" s="1052"/>
      <c r="S32" s="1051">
        <f>'Spiel 8 - Halbfinal'!E22</f>
        <v>5.5</v>
      </c>
      <c r="T32" s="1052">
        <f>'Spiel 8 - Halbfinal'!V22</f>
        <v>5.5</v>
      </c>
      <c r="U32" s="1052">
        <f>'Spiel 8 - Halbfinal'!AE22</f>
        <v>4.666666666666667</v>
      </c>
      <c r="V32" s="1049">
        <f>'Spiel 8 - Halbfinal'!AV22</f>
        <v>5</v>
      </c>
      <c r="W32" s="1052"/>
      <c r="X32" s="1052">
        <f>'Spiel 9 - Final'!I23</f>
        <v>5</v>
      </c>
      <c r="Y32" s="1052">
        <f>'Spiel 9 - Final'!R23</f>
        <v>5.5</v>
      </c>
      <c r="Z32" s="1052">
        <f>'Spiel 9 - Final'!AI23</f>
        <v>5</v>
      </c>
      <c r="AA32" s="1052">
        <f>'Spiel 9 - Final'!AR23</f>
        <v>3.5</v>
      </c>
      <c r="AB32" s="1050">
        <f>'Spiel 9 - Final'!BI23</f>
        <v>3.75</v>
      </c>
      <c r="AC32" s="1064">
        <f>AC28/AC29</f>
        <v>5.0677966101694913</v>
      </c>
    </row>
    <row r="33" spans="1:29" hidden="1" outlineLevel="1">
      <c r="A33" s="1003" t="s">
        <v>8</v>
      </c>
      <c r="B33" s="1053">
        <f>'Spiel 1'!B20</f>
        <v>10</v>
      </c>
      <c r="C33" s="1054">
        <f>'Spiel 1'!W20</f>
        <v>4.333333333333333</v>
      </c>
      <c r="D33" s="1055">
        <f>'Spiel 2'!L17</f>
        <v>8</v>
      </c>
      <c r="E33" s="1056">
        <f>'Spiel 2'!P17</f>
        <v>8.5</v>
      </c>
      <c r="F33" s="1054">
        <f>'Spiel 3'!C19</f>
        <v>8</v>
      </c>
      <c r="G33" s="1057">
        <f>'Spiel 3'!V19</f>
        <v>2</v>
      </c>
      <c r="H33" s="1053">
        <f>'Spiel 4'!J17</f>
        <v>9</v>
      </c>
      <c r="I33" s="1058">
        <f>'Spiel 4'!O17</f>
        <v>8</v>
      </c>
      <c r="J33" s="1055">
        <f>'Spiel 5'!B24</f>
        <v>7</v>
      </c>
      <c r="K33" s="1054">
        <f>'Spiel 5'!W24</f>
        <v>6</v>
      </c>
      <c r="L33" s="1055">
        <f>'Spiel 6'!I18</f>
        <v>6</v>
      </c>
      <c r="M33" s="1057">
        <f>'Spiel 6'!R18</f>
        <v>2.5</v>
      </c>
      <c r="N33" s="1051">
        <f>'Spiel 7 - Viertelfinal'!I28</f>
        <v>4</v>
      </c>
      <c r="O33" s="1052">
        <f>'Spiel 7 - Viertelfinal'!R28</f>
        <v>3</v>
      </c>
      <c r="P33" s="1052">
        <f>'Spiel 7 - Viertelfinal'!AI28</f>
        <v>6.666666666666667</v>
      </c>
      <c r="Q33" s="1049">
        <f>'Spiel 7 - Viertelfinal'!AR28</f>
        <v>7</v>
      </c>
      <c r="R33" s="1052"/>
      <c r="S33" s="1051">
        <f>'Spiel 8 - Halbfinal'!E23</f>
        <v>5.5</v>
      </c>
      <c r="T33" s="1052">
        <f>'Spiel 8 - Halbfinal'!V23</f>
        <v>5.5</v>
      </c>
      <c r="U33" s="1052">
        <f>'Spiel 8 - Halbfinal'!AE23</f>
        <v>7</v>
      </c>
      <c r="V33" s="1049">
        <f>'Spiel 8 - Halbfinal'!AV23</f>
        <v>5</v>
      </c>
      <c r="W33" s="1052"/>
      <c r="X33" s="1052">
        <f>'Spiel 9 - Final'!I24</f>
        <v>7.5</v>
      </c>
      <c r="Y33" s="1052">
        <f>'Spiel 9 - Final'!R24</f>
        <v>5.5</v>
      </c>
      <c r="Z33" s="1052">
        <f>'Spiel 9 - Final'!AI24</f>
        <v>5</v>
      </c>
      <c r="AA33" s="1052">
        <f>'Spiel 9 - Final'!AR24</f>
        <v>7</v>
      </c>
      <c r="AB33" s="1050">
        <f>'Spiel 9 - Final'!BI24</f>
        <v>5</v>
      </c>
      <c r="AC33" s="1007">
        <f>AC28/(AC29-AC30)</f>
        <v>6.1020408163265305</v>
      </c>
    </row>
    <row r="34" spans="1:29" ht="5.0999999999999996" hidden="1" customHeight="1" outlineLevel="1">
      <c r="N34" s="1059"/>
      <c r="O34" s="1060"/>
      <c r="P34" s="1060"/>
      <c r="Q34" s="1061"/>
      <c r="R34" s="1060"/>
      <c r="S34" s="1059"/>
      <c r="T34" s="1060"/>
      <c r="U34" s="1060"/>
      <c r="V34" s="1061"/>
      <c r="W34" s="1060"/>
      <c r="X34" s="1060"/>
      <c r="Y34" s="1060"/>
      <c r="Z34" s="1060"/>
      <c r="AA34" s="1060"/>
      <c r="AB34" s="1061"/>
      <c r="AC34" s="1062"/>
    </row>
    <row r="35" spans="1:29" hidden="1" outlineLevel="1">
      <c r="A35" s="1020" t="s">
        <v>56</v>
      </c>
      <c r="B35" s="1021"/>
      <c r="C35" s="1022"/>
      <c r="D35" s="1021"/>
      <c r="E35" s="1023"/>
      <c r="F35" s="1022"/>
      <c r="G35" s="1023"/>
      <c r="H35" s="1021"/>
      <c r="I35" s="1023"/>
      <c r="J35" s="1021"/>
      <c r="K35" s="1022"/>
      <c r="L35" s="1021"/>
      <c r="M35" s="1023"/>
      <c r="N35" s="1024"/>
      <c r="O35" s="434"/>
      <c r="P35" s="434"/>
      <c r="Q35" s="1025"/>
      <c r="R35" s="434"/>
      <c r="S35" s="1024"/>
      <c r="T35" s="434"/>
      <c r="U35" s="434"/>
      <c r="V35" s="1025"/>
      <c r="W35" s="434"/>
      <c r="X35" s="434"/>
      <c r="Y35" s="434"/>
      <c r="Z35" s="434"/>
      <c r="AA35" s="434"/>
      <c r="AB35" s="1025"/>
      <c r="AC35" s="1026"/>
    </row>
    <row r="36" spans="1:29" hidden="1" outlineLevel="1">
      <c r="A36" s="971" t="s">
        <v>3</v>
      </c>
      <c r="B36" s="1027">
        <f>'Spiel 1'!D15</f>
        <v>5</v>
      </c>
      <c r="C36" s="113">
        <f>'Spiel 1'!Y15</f>
        <v>10</v>
      </c>
      <c r="D36" s="1028">
        <f>'Spiel 2'!J12</f>
        <v>14</v>
      </c>
      <c r="E36" s="1029">
        <f>'Spiel 2'!R12</f>
        <v>5</v>
      </c>
      <c r="F36" s="113">
        <f>'Spiel 3'!E14</f>
        <v>7</v>
      </c>
      <c r="G36" s="1030">
        <f>'Spiel 3'!X14</f>
        <v>21</v>
      </c>
      <c r="H36" s="1027">
        <f>'Spiel 4'!L12</f>
        <v>2</v>
      </c>
      <c r="I36" s="1031">
        <f>'Spiel 4'!Q12</f>
        <v>16</v>
      </c>
      <c r="J36" s="1028">
        <f>'Spiel 5'!D19</f>
        <v>11</v>
      </c>
      <c r="K36" s="113">
        <f>'Spiel 5'!Y19</f>
        <v>1</v>
      </c>
      <c r="L36" s="1028">
        <f>'Spiel 6'!K13</f>
        <v>5</v>
      </c>
      <c r="M36" s="1030">
        <f>'Spiel 6'!P13</f>
        <v>6</v>
      </c>
      <c r="N36" s="1032">
        <f>'Spiel 7 - Viertelfinal'!K23</f>
        <v>6</v>
      </c>
      <c r="O36" s="115">
        <f>'Spiel 7 - Viertelfinal'!P23</f>
        <v>14</v>
      </c>
      <c r="P36" s="918">
        <f>'Spiel 7 - Viertelfinal'!AK23</f>
        <v>-14</v>
      </c>
      <c r="Q36" s="1030">
        <f>'Spiel 7 - Viertelfinal'!AP23</f>
        <v>9</v>
      </c>
      <c r="R36" s="115"/>
      <c r="S36" s="1032">
        <f>'Spiel 8 - Halbfinal'!C18</f>
        <v>2</v>
      </c>
      <c r="T36" s="115">
        <f>'Spiel 8 - Halbfinal'!X18</f>
        <v>5</v>
      </c>
      <c r="U36" s="115">
        <f>'Spiel 8 - Halbfinal'!AC18</f>
        <v>13</v>
      </c>
      <c r="V36" s="1030">
        <f>'Spiel 8 - Halbfinal'!AX18</f>
        <v>10</v>
      </c>
      <c r="W36" s="115"/>
      <c r="X36" s="115">
        <f>'Spiel 9 - Final'!K19</f>
        <v>4</v>
      </c>
      <c r="Y36" s="115">
        <f>'Spiel 9 - Final'!P19</f>
        <v>12</v>
      </c>
      <c r="Z36" s="115">
        <f>'Spiel 9 - Final'!AK19</f>
        <v>11</v>
      </c>
      <c r="AA36" s="115">
        <f>'Spiel 9 - Final'!AP19</f>
        <v>9</v>
      </c>
      <c r="AB36" s="1031">
        <f>'Spiel 9 - Final'!BK19</f>
        <v>2</v>
      </c>
      <c r="AC36" s="987">
        <f>SUM(B36:AB36)</f>
        <v>186</v>
      </c>
    </row>
    <row r="37" spans="1:29" hidden="1" outlineLevel="1">
      <c r="A37" s="971" t="s">
        <v>4</v>
      </c>
      <c r="B37" s="1027">
        <f>'Spiel 1'!D16</f>
        <v>2</v>
      </c>
      <c r="C37" s="113">
        <f>'Spiel 1'!Y16</f>
        <v>2</v>
      </c>
      <c r="D37" s="1028">
        <f>'Spiel 2'!J13</f>
        <v>2</v>
      </c>
      <c r="E37" s="1029">
        <f>'Spiel 2'!R13</f>
        <v>1</v>
      </c>
      <c r="F37" s="113">
        <f>'Spiel 3'!E15</f>
        <v>2</v>
      </c>
      <c r="G37" s="1030">
        <f>'Spiel 3'!X15</f>
        <v>2</v>
      </c>
      <c r="H37" s="1027">
        <f>'Spiel 4'!L13</f>
        <v>1</v>
      </c>
      <c r="I37" s="1031">
        <f>'Spiel 4'!Q13</f>
        <v>2</v>
      </c>
      <c r="J37" s="1028">
        <f>'Spiel 5'!D20</f>
        <v>3</v>
      </c>
      <c r="K37" s="113">
        <f>'Spiel 5'!Y20</f>
        <v>2</v>
      </c>
      <c r="L37" s="1028">
        <f>'Spiel 6'!K14</f>
        <v>1</v>
      </c>
      <c r="M37" s="1030">
        <f>'Spiel 6'!P14</f>
        <v>2</v>
      </c>
      <c r="N37" s="1032">
        <f>'Spiel 7 - Viertelfinal'!K24</f>
        <v>2</v>
      </c>
      <c r="O37" s="115">
        <f>'Spiel 7 - Viertelfinal'!P24</f>
        <v>2</v>
      </c>
      <c r="P37" s="115">
        <f>'Spiel 7 - Viertelfinal'!AK24</f>
        <v>4</v>
      </c>
      <c r="Q37" s="1030">
        <f>'Spiel 7 - Viertelfinal'!AP24</f>
        <v>3</v>
      </c>
      <c r="R37" s="115"/>
      <c r="S37" s="1032">
        <f>'Spiel 8 - Halbfinal'!C19</f>
        <v>2</v>
      </c>
      <c r="T37" s="115">
        <f>'Spiel 8 - Halbfinal'!X19</f>
        <v>1</v>
      </c>
      <c r="U37" s="115">
        <f>'Spiel 8 - Halbfinal'!AC19</f>
        <v>3</v>
      </c>
      <c r="V37" s="1030">
        <f>'Spiel 8 - Halbfinal'!AX19</f>
        <v>2</v>
      </c>
      <c r="W37" s="115"/>
      <c r="X37" s="115">
        <f>'Spiel 9 - Final'!K20</f>
        <v>2</v>
      </c>
      <c r="Y37" s="115">
        <f>'Spiel 9 - Final'!P20</f>
        <v>2</v>
      </c>
      <c r="Z37" s="115">
        <f>'Spiel 9 - Final'!AK20</f>
        <v>2</v>
      </c>
      <c r="AA37" s="115">
        <f>'Spiel 9 - Final'!AP20</f>
        <v>2</v>
      </c>
      <c r="AB37" s="1031">
        <f>'Spiel 9 - Final'!BK20</f>
        <v>3</v>
      </c>
      <c r="AC37" s="985">
        <f>SUM(B37:AB37)</f>
        <v>52</v>
      </c>
    </row>
    <row r="38" spans="1:29" hidden="1" outlineLevel="1">
      <c r="A38" s="971" t="s">
        <v>6</v>
      </c>
      <c r="B38" s="1027">
        <f>'Spiel 1'!D17</f>
        <v>1</v>
      </c>
      <c r="C38" s="973">
        <f>'Spiel 1'!Y17</f>
        <v>0</v>
      </c>
      <c r="D38" s="972">
        <f>'Spiel 2'!J14</f>
        <v>0</v>
      </c>
      <c r="E38" s="978">
        <f>'Spiel 2'!R14</f>
        <v>0</v>
      </c>
      <c r="F38" s="973">
        <f>'Spiel 3'!E16</f>
        <v>0</v>
      </c>
      <c r="G38" s="978">
        <f>'Spiel 3'!X16</f>
        <v>0</v>
      </c>
      <c r="H38" s="972">
        <f>'Spiel 4'!L14</f>
        <v>0</v>
      </c>
      <c r="I38" s="978">
        <f>'Spiel 4'!Q14</f>
        <v>0</v>
      </c>
      <c r="J38" s="1028">
        <f>'Spiel 5'!D21</f>
        <v>1</v>
      </c>
      <c r="K38" s="113">
        <f>'Spiel 5'!Y21</f>
        <v>1</v>
      </c>
      <c r="L38" s="972">
        <f>'Spiel 6'!K15</f>
        <v>0</v>
      </c>
      <c r="M38" s="1030">
        <f>'Spiel 6'!P15</f>
        <v>1</v>
      </c>
      <c r="N38" s="1032">
        <f>'Spiel 7 - Viertelfinal'!K25</f>
        <v>1</v>
      </c>
      <c r="O38" s="973">
        <f>'Spiel 7 - Viertelfinal'!P25</f>
        <v>0</v>
      </c>
      <c r="P38" s="115">
        <f>'Spiel 7 - Viertelfinal'!AK25</f>
        <v>1</v>
      </c>
      <c r="Q38" s="1030">
        <f>'Spiel 7 - Viertelfinal'!AP25</f>
        <v>1</v>
      </c>
      <c r="R38" s="115"/>
      <c r="S38" s="1032">
        <f>'Spiel 8 - Halbfinal'!C20</f>
        <v>1</v>
      </c>
      <c r="T38" s="973">
        <f>'Spiel 8 - Halbfinal'!X20</f>
        <v>0</v>
      </c>
      <c r="U38" s="973">
        <f>'Spiel 8 - Halbfinal'!AC20</f>
        <v>0</v>
      </c>
      <c r="V38" s="978">
        <f>'Spiel 8 - Halbfinal'!AX20</f>
        <v>0</v>
      </c>
      <c r="W38" s="973"/>
      <c r="X38" s="115">
        <f>'Spiel 9 - Final'!K21</f>
        <v>1</v>
      </c>
      <c r="Y38" s="115">
        <f>'Spiel 9 - Final'!P21</f>
        <v>1</v>
      </c>
      <c r="Z38" s="973">
        <f>'Spiel 9 - Final'!AK21</f>
        <v>0</v>
      </c>
      <c r="AA38" s="115">
        <f>'Spiel 9 - Final'!AP21</f>
        <v>1</v>
      </c>
      <c r="AB38" s="978">
        <f>'Spiel 9 - Final'!BK21</f>
        <v>0</v>
      </c>
      <c r="AC38" s="979">
        <f>SUM(B38:AB38)</f>
        <v>11</v>
      </c>
    </row>
    <row r="39" spans="1:29" hidden="1" outlineLevel="1">
      <c r="A39" s="971" t="s">
        <v>12</v>
      </c>
      <c r="B39" s="1039">
        <f>'Spiel 1'!D18</f>
        <v>0.5</v>
      </c>
      <c r="C39" s="989">
        <f>'Spiel 1'!Y18</f>
        <v>0</v>
      </c>
      <c r="D39" s="1043">
        <f>'Spiel 2'!J15</f>
        <v>0</v>
      </c>
      <c r="E39" s="1042">
        <f>'Spiel 2'!R15</f>
        <v>0</v>
      </c>
      <c r="F39" s="989">
        <f>'Spiel 3'!E17</f>
        <v>0</v>
      </c>
      <c r="G39" s="1042">
        <f>'Spiel 3'!X17</f>
        <v>0</v>
      </c>
      <c r="H39" s="1043">
        <f>'Spiel 4'!L15</f>
        <v>0</v>
      </c>
      <c r="I39" s="1042">
        <f>'Spiel 4'!Q15</f>
        <v>0</v>
      </c>
      <c r="J39" s="1039">
        <f>'Spiel 5'!D22</f>
        <v>0.33333333333333331</v>
      </c>
      <c r="K39" s="1044">
        <f>'Spiel 5'!Y22</f>
        <v>0.5</v>
      </c>
      <c r="L39" s="1043">
        <f>'Spiel 6'!K16</f>
        <v>0</v>
      </c>
      <c r="M39" s="1041">
        <f>'Spiel 6'!P16</f>
        <v>0.5</v>
      </c>
      <c r="N39" s="1039">
        <f>'Spiel 7 - Viertelfinal'!K26</f>
        <v>0.5</v>
      </c>
      <c r="O39" s="989">
        <f>'Spiel 7 - Viertelfinal'!P26</f>
        <v>0</v>
      </c>
      <c r="P39" s="1044">
        <f>'Spiel 7 - Viertelfinal'!AK26</f>
        <v>0.25</v>
      </c>
      <c r="Q39" s="1041">
        <f>'Spiel 7 - Viertelfinal'!AP26</f>
        <v>0.33333333333333331</v>
      </c>
      <c r="R39" s="1044"/>
      <c r="S39" s="1039">
        <f>'Spiel 8 - Halbfinal'!C21</f>
        <v>0.5</v>
      </c>
      <c r="T39" s="989">
        <f>'Spiel 8 - Halbfinal'!X21</f>
        <v>0</v>
      </c>
      <c r="U39" s="989">
        <f>'Spiel 8 - Halbfinal'!AC21</f>
        <v>0</v>
      </c>
      <c r="V39" s="1042">
        <f>'Spiel 8 - Halbfinal'!AX21</f>
        <v>0</v>
      </c>
      <c r="W39" s="989"/>
      <c r="X39" s="1044">
        <f>'Spiel 9 - Final'!K22</f>
        <v>0.5</v>
      </c>
      <c r="Y39" s="1044">
        <f>'Spiel 9 - Final'!P22</f>
        <v>0.5</v>
      </c>
      <c r="Z39" s="989">
        <f>'Spiel 9 - Final'!AK22</f>
        <v>0</v>
      </c>
      <c r="AA39" s="1044">
        <f>'Spiel 9 - Final'!AP22</f>
        <v>0.5</v>
      </c>
      <c r="AB39" s="1042">
        <f>'Spiel 9 - Final'!BK22</f>
        <v>0</v>
      </c>
      <c r="AC39" s="1065">
        <f>AC38/AC37</f>
        <v>0.21153846153846154</v>
      </c>
    </row>
    <row r="40" spans="1:29" hidden="1" outlineLevel="1">
      <c r="A40" s="971" t="s">
        <v>5</v>
      </c>
      <c r="B40" s="1045">
        <f>'Spiel 1'!D19</f>
        <v>2.5</v>
      </c>
      <c r="C40" s="1046">
        <f>'Spiel 1'!Y19</f>
        <v>5</v>
      </c>
      <c r="D40" s="1047">
        <f>'Spiel 2'!J16</f>
        <v>7</v>
      </c>
      <c r="E40" s="1048">
        <f>'Spiel 2'!R16</f>
        <v>5</v>
      </c>
      <c r="F40" s="1046">
        <f>'Spiel 3'!E18</f>
        <v>3.5</v>
      </c>
      <c r="G40" s="1049">
        <f>'Spiel 3'!X18</f>
        <v>10.5</v>
      </c>
      <c r="H40" s="1045">
        <f>'Spiel 4'!L16</f>
        <v>2</v>
      </c>
      <c r="I40" s="1050">
        <f>'Spiel 4'!Q16</f>
        <v>8</v>
      </c>
      <c r="J40" s="1047">
        <f>'Spiel 5'!D23</f>
        <v>3.6666666666666665</v>
      </c>
      <c r="K40" s="1046">
        <f>'Spiel 5'!Y23</f>
        <v>0.5</v>
      </c>
      <c r="L40" s="1047">
        <f>'Spiel 6'!K17</f>
        <v>5</v>
      </c>
      <c r="M40" s="1049">
        <f>'Spiel 6'!P17</f>
        <v>3</v>
      </c>
      <c r="N40" s="1051">
        <f>'Spiel 7 - Viertelfinal'!K27</f>
        <v>3</v>
      </c>
      <c r="O40" s="1052">
        <f>'Spiel 7 - Viertelfinal'!P27</f>
        <v>7</v>
      </c>
      <c r="P40" s="1052">
        <f>'Spiel 7 - Viertelfinal'!AK27</f>
        <v>-3.5</v>
      </c>
      <c r="Q40" s="1049">
        <f>'Spiel 7 - Viertelfinal'!AP27</f>
        <v>3</v>
      </c>
      <c r="R40" s="1052"/>
      <c r="S40" s="1051">
        <f>'Spiel 8 - Halbfinal'!C22</f>
        <v>1</v>
      </c>
      <c r="T40" s="1052">
        <f>'Spiel 8 - Halbfinal'!X22</f>
        <v>5</v>
      </c>
      <c r="U40" s="1052">
        <f>'Spiel 8 - Halbfinal'!AC22</f>
        <v>4.333333333333333</v>
      </c>
      <c r="V40" s="1049">
        <f>'Spiel 8 - Halbfinal'!AX22</f>
        <v>5</v>
      </c>
      <c r="W40" s="1052"/>
      <c r="X40" s="1052">
        <f>'Spiel 9 - Final'!K23</f>
        <v>2</v>
      </c>
      <c r="Y40" s="1052">
        <f>'Spiel 9 - Final'!P23</f>
        <v>6</v>
      </c>
      <c r="Z40" s="1052">
        <f>'Spiel 9 - Final'!AK23</f>
        <v>5.5</v>
      </c>
      <c r="AA40" s="1052">
        <f>'Spiel 9 - Final'!AP23</f>
        <v>4.5</v>
      </c>
      <c r="AB40" s="1050">
        <f>'Spiel 9 - Final'!BK23</f>
        <v>0.66666666666666663</v>
      </c>
      <c r="AC40" s="1002">
        <f>AC36/AC37</f>
        <v>3.5769230769230771</v>
      </c>
    </row>
    <row r="41" spans="1:29" hidden="1" outlineLevel="1">
      <c r="A41" s="1003" t="s">
        <v>8</v>
      </c>
      <c r="B41" s="1053">
        <f>'Spiel 1'!D20</f>
        <v>5</v>
      </c>
      <c r="C41" s="1054">
        <f>'Spiel 1'!Y20</f>
        <v>5</v>
      </c>
      <c r="D41" s="1055">
        <f>'Spiel 2'!J17</f>
        <v>7</v>
      </c>
      <c r="E41" s="1056">
        <f>'Spiel 2'!R17</f>
        <v>5</v>
      </c>
      <c r="F41" s="1054">
        <f>'Spiel 3'!E19</f>
        <v>3.5</v>
      </c>
      <c r="G41" s="1057">
        <f>'Spiel 3'!X19</f>
        <v>10.5</v>
      </c>
      <c r="H41" s="1053">
        <f>'Spiel 4'!L17</f>
        <v>2</v>
      </c>
      <c r="I41" s="1058">
        <f>'Spiel 4'!Q17</f>
        <v>8</v>
      </c>
      <c r="J41" s="1055">
        <f>'Spiel 5'!D24</f>
        <v>5.5</v>
      </c>
      <c r="K41" s="1054">
        <f>'Spiel 5'!Y24</f>
        <v>1</v>
      </c>
      <c r="L41" s="1055">
        <f>'Spiel 6'!K18</f>
        <v>5</v>
      </c>
      <c r="M41" s="1057">
        <f>'Spiel 6'!P18</f>
        <v>6</v>
      </c>
      <c r="N41" s="1051">
        <f>'Spiel 7 - Viertelfinal'!K28</f>
        <v>6</v>
      </c>
      <c r="O41" s="1052">
        <f>'Spiel 7 - Viertelfinal'!P28</f>
        <v>7</v>
      </c>
      <c r="P41" s="1052">
        <f>'Spiel 7 - Viertelfinal'!AK28</f>
        <v>-4.666666666666667</v>
      </c>
      <c r="Q41" s="1049">
        <f>'Spiel 7 - Viertelfinal'!AP28</f>
        <v>4.5</v>
      </c>
      <c r="R41" s="1052"/>
      <c r="S41" s="1051">
        <f>'Spiel 8 - Halbfinal'!C23</f>
        <v>2</v>
      </c>
      <c r="T41" s="1052">
        <f>'Spiel 8 - Halbfinal'!X23</f>
        <v>5</v>
      </c>
      <c r="U41" s="1052">
        <f>'Spiel 8 - Halbfinal'!AC23</f>
        <v>4.333333333333333</v>
      </c>
      <c r="V41" s="1049">
        <f>'Spiel 8 - Halbfinal'!AX23</f>
        <v>5</v>
      </c>
      <c r="W41" s="1052"/>
      <c r="X41" s="1052">
        <f>'Spiel 9 - Final'!K24</f>
        <v>4</v>
      </c>
      <c r="Y41" s="1052">
        <f>'Spiel 9 - Final'!P24</f>
        <v>12</v>
      </c>
      <c r="Z41" s="1052">
        <f>'Spiel 9 - Final'!AK24</f>
        <v>5.5</v>
      </c>
      <c r="AA41" s="1052">
        <f>'Spiel 9 - Final'!AP24</f>
        <v>9</v>
      </c>
      <c r="AB41" s="1050">
        <f>'Spiel 9 - Final'!BK24</f>
        <v>0.66666666666666663</v>
      </c>
      <c r="AC41" s="1066">
        <f>AC36/(AC37-AC38)</f>
        <v>4.5365853658536581</v>
      </c>
    </row>
    <row r="42" spans="1:29" ht="5.0999999999999996" hidden="1" customHeight="1" outlineLevel="1">
      <c r="N42" s="1059"/>
      <c r="O42" s="1060"/>
      <c r="P42" s="1060"/>
      <c r="Q42" s="1061"/>
      <c r="R42" s="1060"/>
      <c r="S42" s="1067"/>
      <c r="T42" s="1068"/>
      <c r="U42" s="1068"/>
      <c r="V42" s="1069"/>
      <c r="W42" s="1068"/>
      <c r="X42" s="1060"/>
      <c r="Y42" s="1060"/>
      <c r="Z42" s="1060"/>
      <c r="AA42" s="1060"/>
      <c r="AB42" s="1061"/>
      <c r="AC42" s="1070"/>
    </row>
    <row r="43" spans="1:29" collapsed="1">
      <c r="A43" s="1071" t="s">
        <v>59</v>
      </c>
      <c r="B43" s="1072"/>
      <c r="C43" s="1073"/>
      <c r="D43" s="1072"/>
      <c r="E43" s="1073"/>
      <c r="F43" s="1072"/>
      <c r="G43" s="1073"/>
      <c r="H43" s="1072"/>
      <c r="I43" s="1073"/>
      <c r="J43" s="1072"/>
      <c r="K43" s="1073"/>
      <c r="L43" s="1072"/>
      <c r="M43" s="1073"/>
      <c r="N43" s="1074"/>
      <c r="O43" s="1074"/>
      <c r="P43" s="1074"/>
      <c r="Q43" s="1074"/>
      <c r="R43" s="1074"/>
      <c r="S43" s="1072"/>
      <c r="T43" s="1074"/>
      <c r="U43" s="1074"/>
      <c r="V43" s="1074"/>
      <c r="W43" s="1073"/>
      <c r="X43" s="1074"/>
      <c r="Y43" s="1074"/>
      <c r="Z43" s="1074"/>
      <c r="AA43" s="1074"/>
      <c r="AB43" s="1073"/>
      <c r="AC43" s="1075"/>
    </row>
    <row r="44" spans="1:29">
      <c r="A44" s="1076" t="s">
        <v>3</v>
      </c>
      <c r="B44" s="974">
        <f>'Spiel 1'!H15</f>
        <v>34</v>
      </c>
      <c r="C44" s="977">
        <f>'Spiel 1'!S15</f>
        <v>42</v>
      </c>
      <c r="D44" s="972">
        <f>'Spiel 2'!F12</f>
        <v>50</v>
      </c>
      <c r="E44" s="975">
        <f>'Spiel 2'!U12</f>
        <v>25</v>
      </c>
      <c r="F44" s="974">
        <f>'Spiel 3'!H14</f>
        <v>23</v>
      </c>
      <c r="G44" s="975">
        <f>'Spiel 3'!S14</f>
        <v>27</v>
      </c>
      <c r="H44" s="972">
        <f>'Spiel 4'!F12</f>
        <v>50</v>
      </c>
      <c r="I44" s="975">
        <f>'Spiel 4'!U12</f>
        <v>30</v>
      </c>
      <c r="J44" s="972">
        <f>'Spiel 5'!H19</f>
        <v>50</v>
      </c>
      <c r="K44" s="977">
        <f>'Spiel 5'!S19</f>
        <v>43</v>
      </c>
      <c r="L44" s="972">
        <f>'Spiel 6'!F13</f>
        <v>50</v>
      </c>
      <c r="M44" s="973">
        <f>'Spiel 6'!U13</f>
        <v>50</v>
      </c>
      <c r="N44" s="972">
        <f>'Spiel 7 - Viertelfinal'!F23</f>
        <v>50</v>
      </c>
      <c r="O44" s="975">
        <f>'Spiel 7 - Viertelfinal'!U23</f>
        <v>34</v>
      </c>
      <c r="P44" s="977">
        <f>'Spiel 7 - Viertelfinal'!AF23</f>
        <v>46</v>
      </c>
      <c r="Q44" s="977">
        <f>'Spiel 7 - Viertelfinal'!AU23</f>
        <v>38</v>
      </c>
      <c r="R44" s="228"/>
      <c r="S44" s="972">
        <f>'Spiel 8 - Halbfinal'!H18</f>
        <v>50</v>
      </c>
      <c r="T44" s="973">
        <f>'Spiel 8 - Halbfinal'!S18</f>
        <v>50</v>
      </c>
      <c r="U44" s="977">
        <f>'Spiel 8 - Halbfinal'!AH18</f>
        <v>45</v>
      </c>
      <c r="V44" s="973">
        <f>'Spiel 8 - Halbfinal'!AS18</f>
        <v>50</v>
      </c>
      <c r="W44" s="1297"/>
      <c r="X44" s="973">
        <f>'Spiel 9 - Final'!F19</f>
        <v>50</v>
      </c>
      <c r="Y44" s="977">
        <f>'Spiel 9 - Final'!U19</f>
        <v>38</v>
      </c>
      <c r="Z44" s="977">
        <f>'Spiel 9 - Final'!AF19</f>
        <v>36</v>
      </c>
      <c r="AA44" s="973">
        <f>'Spiel 9 - Final'!AU19</f>
        <v>50</v>
      </c>
      <c r="AB44" s="1077">
        <f>'Spiel 9 - Final'!BF19</f>
        <v>33</v>
      </c>
      <c r="AC44" s="1078">
        <f>SUM(B44:AB44)</f>
        <v>1044</v>
      </c>
    </row>
    <row r="45" spans="1:29">
      <c r="A45" s="1076" t="s">
        <v>4</v>
      </c>
      <c r="B45" s="1028">
        <f>'Spiel 1'!H16</f>
        <v>9</v>
      </c>
      <c r="C45" s="1079">
        <f>'Spiel 1'!S16</f>
        <v>10</v>
      </c>
      <c r="D45" s="1028">
        <f>'Spiel 2'!F13</f>
        <v>7</v>
      </c>
      <c r="E45" s="1079">
        <f>'Spiel 2'!U13</f>
        <v>6</v>
      </c>
      <c r="F45" s="1028">
        <f>'Spiel 3'!H15</f>
        <v>8</v>
      </c>
      <c r="G45" s="1079">
        <f>'Spiel 3'!S15</f>
        <v>7</v>
      </c>
      <c r="H45" s="1028">
        <f>'Spiel 4'!F13</f>
        <v>6</v>
      </c>
      <c r="I45" s="1079">
        <f>'Spiel 4'!U13</f>
        <v>6</v>
      </c>
      <c r="J45" s="1028">
        <f>'Spiel 5'!H20</f>
        <v>14</v>
      </c>
      <c r="K45" s="1079">
        <f>'Spiel 5'!S20</f>
        <v>9</v>
      </c>
      <c r="L45" s="1028">
        <f>'Spiel 6'!F14</f>
        <v>6</v>
      </c>
      <c r="M45" s="1079">
        <f>'Spiel 6'!U14</f>
        <v>8</v>
      </c>
      <c r="N45" s="1027">
        <f>'Spiel 7 - Viertelfinal'!F24</f>
        <v>9</v>
      </c>
      <c r="O45" s="1079">
        <f>'Spiel 7 - Viertelfinal'!U24</f>
        <v>6</v>
      </c>
      <c r="P45" s="1079">
        <f>'Spiel 7 - Viertelfinal'!AF24</f>
        <v>17</v>
      </c>
      <c r="Q45" s="1079">
        <f>'Spiel 7 - Viertelfinal'!AU24</f>
        <v>9</v>
      </c>
      <c r="R45" s="1079"/>
      <c r="S45" s="1027">
        <f>'Spiel 8 - Halbfinal'!H19</f>
        <v>8</v>
      </c>
      <c r="T45" s="1079">
        <f>'Spiel 8 - Halbfinal'!S19</f>
        <v>7</v>
      </c>
      <c r="U45" s="1079">
        <f>'Spiel 8 - Halbfinal'!AH19</f>
        <v>11</v>
      </c>
      <c r="V45" s="1079">
        <f>'Spiel 8 - Halbfinal'!AS19</f>
        <v>11</v>
      </c>
      <c r="W45" s="1031"/>
      <c r="X45" s="1079">
        <f>'Spiel 9 - Final'!F20</f>
        <v>11</v>
      </c>
      <c r="Y45" s="1079">
        <f>'Spiel 9 - Final'!U20</f>
        <v>7</v>
      </c>
      <c r="Z45" s="1079">
        <f>'Spiel 9 - Final'!AF20</f>
        <v>8</v>
      </c>
      <c r="AA45" s="1079">
        <f>'Spiel 9 - Final'!AU20</f>
        <v>8</v>
      </c>
      <c r="AB45" s="1030">
        <f>'Spiel 9 - Final'!BF20</f>
        <v>13</v>
      </c>
      <c r="AC45" s="1080">
        <f>SUM(B45:AB45)</f>
        <v>221</v>
      </c>
    </row>
    <row r="46" spans="1:29">
      <c r="A46" s="1076" t="s">
        <v>6</v>
      </c>
      <c r="B46" s="1028">
        <f>'Spiel 1'!H17</f>
        <v>2</v>
      </c>
      <c r="C46" s="115">
        <f>'Spiel 1'!S17</f>
        <v>3</v>
      </c>
      <c r="D46" s="972">
        <f>'Spiel 2'!F14</f>
        <v>0</v>
      </c>
      <c r="E46" s="115">
        <f>'Spiel 2'!U14</f>
        <v>2</v>
      </c>
      <c r="F46" s="1028">
        <f>'Spiel 3'!H16</f>
        <v>2</v>
      </c>
      <c r="G46" s="115">
        <f>'Spiel 3'!S16</f>
        <v>3</v>
      </c>
      <c r="H46" s="972">
        <f>'Spiel 4'!F14</f>
        <v>0</v>
      </c>
      <c r="I46" s="115">
        <f>'Spiel 4'!U14</f>
        <v>1</v>
      </c>
      <c r="J46" s="1028">
        <f>'Spiel 5'!H21</f>
        <v>2</v>
      </c>
      <c r="K46" s="115">
        <f>'Spiel 5'!S21</f>
        <v>2</v>
      </c>
      <c r="L46" s="972">
        <f>'Spiel 6'!F15</f>
        <v>0</v>
      </c>
      <c r="M46" s="973">
        <f>'Spiel 6'!U15</f>
        <v>0</v>
      </c>
      <c r="N46" s="1027">
        <f>'Spiel 7 - Viertelfinal'!F25</f>
        <v>2</v>
      </c>
      <c r="O46" s="1079">
        <f>'Spiel 7 - Viertelfinal'!U25</f>
        <v>2</v>
      </c>
      <c r="P46" s="1079">
        <f>'Spiel 7 - Viertelfinal'!AF25</f>
        <v>3</v>
      </c>
      <c r="Q46" s="1079">
        <f>'Spiel 7 - Viertelfinal'!AU25</f>
        <v>1</v>
      </c>
      <c r="R46" s="1079"/>
      <c r="S46" s="1027">
        <f>'Spiel 8 - Halbfinal'!H20</f>
        <v>1</v>
      </c>
      <c r="T46" s="1079">
        <f>'Spiel 8 - Halbfinal'!S20</f>
        <v>1</v>
      </c>
      <c r="U46" s="1079">
        <f>'Spiel 8 - Halbfinal'!AH20</f>
        <v>2</v>
      </c>
      <c r="V46" s="1079">
        <f>'Spiel 8 - Halbfinal'!AS20</f>
        <v>3</v>
      </c>
      <c r="W46" s="1031"/>
      <c r="X46" s="1079">
        <f>'Spiel 9 - Final'!F21</f>
        <v>3</v>
      </c>
      <c r="Y46" s="1079">
        <f>'Spiel 9 - Final'!U21</f>
        <v>3</v>
      </c>
      <c r="Z46" s="1079">
        <f>'Spiel 9 - Final'!AF21</f>
        <v>1</v>
      </c>
      <c r="AA46" s="1079">
        <f>'Spiel 9 - Final'!AU21</f>
        <v>1</v>
      </c>
      <c r="AB46" s="1030">
        <f>'Spiel 9 - Final'!BF21</f>
        <v>3</v>
      </c>
      <c r="AC46" s="1081">
        <f>SUM(B46:AB46)</f>
        <v>43</v>
      </c>
    </row>
    <row r="47" spans="1:29">
      <c r="A47" s="1076" t="s">
        <v>12</v>
      </c>
      <c r="B47" s="1039">
        <f>'Spiel 1'!H18</f>
        <v>0.22222222222222221</v>
      </c>
      <c r="C47" s="1082">
        <f>'Spiel 1'!S18</f>
        <v>0.3</v>
      </c>
      <c r="D47" s="1043">
        <f>'Spiel 2'!F15</f>
        <v>0</v>
      </c>
      <c r="E47" s="1082">
        <f>'Spiel 2'!U15</f>
        <v>0.33333333333333331</v>
      </c>
      <c r="F47" s="1039">
        <f>'Spiel 3'!H17</f>
        <v>0.25</v>
      </c>
      <c r="G47" s="1082">
        <f>'Spiel 3'!S17</f>
        <v>0.42857142857142855</v>
      </c>
      <c r="H47" s="1043">
        <f>'Spiel 4'!F15</f>
        <v>0</v>
      </c>
      <c r="I47" s="1082">
        <f>'Spiel 4'!U15</f>
        <v>0.16666666666666666</v>
      </c>
      <c r="J47" s="1039">
        <f>'Spiel 5'!H22</f>
        <v>0.14285714285714285</v>
      </c>
      <c r="K47" s="1082">
        <f>'Spiel 5'!S22</f>
        <v>0.22222222222222221</v>
      </c>
      <c r="L47" s="1043">
        <f>'Spiel 6'!F16</f>
        <v>0</v>
      </c>
      <c r="M47" s="989">
        <f>'Spiel 6'!U16</f>
        <v>0</v>
      </c>
      <c r="N47" s="1083">
        <f>'Spiel 7 - Viertelfinal'!F26</f>
        <v>0.22222222222222221</v>
      </c>
      <c r="O47" s="1084">
        <f>'Spiel 7 - Viertelfinal'!U26</f>
        <v>0.33333333333333331</v>
      </c>
      <c r="P47" s="1084">
        <f>'Spiel 7 - Viertelfinal'!AF26</f>
        <v>0.17647058823529413</v>
      </c>
      <c r="Q47" s="1084">
        <f>'Spiel 7 - Viertelfinal'!AU26</f>
        <v>0.1111111111111111</v>
      </c>
      <c r="R47" s="1084"/>
      <c r="S47" s="1083">
        <f>'Spiel 8 - Halbfinal'!H21</f>
        <v>0.125</v>
      </c>
      <c r="T47" s="1084">
        <f>'Spiel 8 - Halbfinal'!S21</f>
        <v>0.14285714285714285</v>
      </c>
      <c r="U47" s="1084">
        <f>'Spiel 8 - Halbfinal'!AH21</f>
        <v>0.18181818181818182</v>
      </c>
      <c r="V47" s="1084">
        <f>'Spiel 8 - Halbfinal'!AS21</f>
        <v>0.27272727272727271</v>
      </c>
      <c r="W47" s="1085"/>
      <c r="X47" s="1084">
        <f>'Spiel 9 - Final'!F22</f>
        <v>0.27272727272727271</v>
      </c>
      <c r="Y47" s="1084">
        <f>'Spiel 9 - Final'!U22</f>
        <v>0.42857142857142855</v>
      </c>
      <c r="Z47" s="1084">
        <f>'Spiel 9 - Final'!AF22</f>
        <v>0.125</v>
      </c>
      <c r="AA47" s="1084">
        <f>'Spiel 9 - Final'!AU22</f>
        <v>0.125</v>
      </c>
      <c r="AB47" s="1086">
        <f>'Spiel 9 - Final'!BF22</f>
        <v>0.23076923076923078</v>
      </c>
      <c r="AC47" s="1087">
        <f>AC46/AC45</f>
        <v>0.19457013574660634</v>
      </c>
    </row>
    <row r="48" spans="1:29">
      <c r="A48" s="1076" t="s">
        <v>5</v>
      </c>
      <c r="B48" s="1045">
        <f>'Spiel 1'!H19</f>
        <v>3.7777777777777777</v>
      </c>
      <c r="C48" s="1088">
        <f>'Spiel 1'!S19</f>
        <v>4.2</v>
      </c>
      <c r="D48" s="1045">
        <f>'Spiel 2'!F16</f>
        <v>7.1428571428571432</v>
      </c>
      <c r="E48" s="1088">
        <f>'Spiel 2'!U16</f>
        <v>4.166666666666667</v>
      </c>
      <c r="F48" s="1045">
        <f>'Spiel 3'!H18</f>
        <v>2.875</v>
      </c>
      <c r="G48" s="1088">
        <f>'Spiel 3'!S18</f>
        <v>3.8571428571428572</v>
      </c>
      <c r="H48" s="1045">
        <f>'Spiel 4'!F16</f>
        <v>8.3333333333333339</v>
      </c>
      <c r="I48" s="1088">
        <f>'Spiel 4'!U16</f>
        <v>5</v>
      </c>
      <c r="J48" s="1045">
        <f>'Spiel 5'!H23</f>
        <v>3.5714285714285716</v>
      </c>
      <c r="K48" s="1088">
        <f>'Spiel 5'!S23</f>
        <v>4.7777777777777777</v>
      </c>
      <c r="L48" s="1047">
        <f>'Spiel 6'!F17</f>
        <v>8.3333333333333339</v>
      </c>
      <c r="M48" s="1088">
        <f>'Spiel 6'!U17</f>
        <v>6.25</v>
      </c>
      <c r="N48" s="1045">
        <f>'Spiel 7 - Viertelfinal'!F27</f>
        <v>5.5555555555555554</v>
      </c>
      <c r="O48" s="1088">
        <f>'Spiel 7 - Viertelfinal'!U27</f>
        <v>5.666666666666667</v>
      </c>
      <c r="P48" s="1088">
        <f>'Spiel 7 - Viertelfinal'!AF27</f>
        <v>2.7058823529411766</v>
      </c>
      <c r="Q48" s="1088">
        <f>'Spiel 7 - Viertelfinal'!AU27</f>
        <v>4.2222222222222223</v>
      </c>
      <c r="R48" s="1088"/>
      <c r="S48" s="1045">
        <f>'Spiel 8 - Halbfinal'!H22</f>
        <v>6.25</v>
      </c>
      <c r="T48" s="1088">
        <f>'Spiel 8 - Halbfinal'!S22</f>
        <v>7.1428571428571432</v>
      </c>
      <c r="U48" s="1088">
        <f>'Spiel 8 - Halbfinal'!AH22</f>
        <v>4.0909090909090908</v>
      </c>
      <c r="V48" s="1088">
        <f>'Spiel 8 - Halbfinal'!AS22</f>
        <v>4.5454545454545459</v>
      </c>
      <c r="W48" s="1050"/>
      <c r="X48" s="1088">
        <f>'Spiel 9 - Final'!F23</f>
        <v>4.5454545454545459</v>
      </c>
      <c r="Y48" s="1088">
        <f>'Spiel 9 - Final'!U23</f>
        <v>5.4285714285714288</v>
      </c>
      <c r="Z48" s="1088">
        <f>'Spiel 9 - Final'!AF23</f>
        <v>4.5</v>
      </c>
      <c r="AA48" s="1088">
        <f>'Spiel 9 - Final'!AU23</f>
        <v>6.25</v>
      </c>
      <c r="AB48" s="1049">
        <f>'Spiel 9 - Final'!BF23</f>
        <v>2.5384615384615383</v>
      </c>
      <c r="AC48" s="1089">
        <f>AC44/AC45</f>
        <v>4.7239819004524888</v>
      </c>
    </row>
    <row r="49" spans="1:29">
      <c r="A49" s="1090" t="s">
        <v>8</v>
      </c>
      <c r="B49" s="1053">
        <f>'Spiel 1'!H20</f>
        <v>4.8571428571428568</v>
      </c>
      <c r="C49" s="1091">
        <f>'Spiel 1'!S20</f>
        <v>6</v>
      </c>
      <c r="D49" s="1053">
        <f>'Spiel 2'!F17</f>
        <v>7.1428571428571432</v>
      </c>
      <c r="E49" s="1091">
        <f>'Spiel 2'!U17</f>
        <v>6.25</v>
      </c>
      <c r="F49" s="1053">
        <f>'Spiel 3'!H19</f>
        <v>3.8333333333333335</v>
      </c>
      <c r="G49" s="1091">
        <f>'Spiel 3'!S19</f>
        <v>6.75</v>
      </c>
      <c r="H49" s="1053">
        <f>'Spiel 4'!F17</f>
        <v>8.3333333333333339</v>
      </c>
      <c r="I49" s="1091">
        <f>'Spiel 4'!U17</f>
        <v>6</v>
      </c>
      <c r="J49" s="1053">
        <f>'Spiel 5'!H24</f>
        <v>4.166666666666667</v>
      </c>
      <c r="K49" s="1091">
        <f>'Spiel 5'!S24</f>
        <v>6.1428571428571432</v>
      </c>
      <c r="L49" s="1047">
        <f>'Spiel 6'!F18</f>
        <v>8.3333333333333339</v>
      </c>
      <c r="M49" s="1088">
        <f>'Spiel 6'!U18</f>
        <v>6.25</v>
      </c>
      <c r="N49" s="1045">
        <f>'Spiel 7 - Viertelfinal'!F28</f>
        <v>7.1428571428571432</v>
      </c>
      <c r="O49" s="1088">
        <f>'Spiel 7 - Viertelfinal'!U28</f>
        <v>8.5</v>
      </c>
      <c r="P49" s="1088">
        <f>'Spiel 7 - Viertelfinal'!AF28</f>
        <v>3.2857142857142856</v>
      </c>
      <c r="Q49" s="1088">
        <f>'Spiel 7 - Viertelfinal'!AU28</f>
        <v>4.75</v>
      </c>
      <c r="R49" s="1088"/>
      <c r="S49" s="1053">
        <f>'Spiel 8 - Halbfinal'!H23</f>
        <v>7.1428571428571432</v>
      </c>
      <c r="T49" s="1091">
        <f>'Spiel 8 - Halbfinal'!S23</f>
        <v>8.3333333333333339</v>
      </c>
      <c r="U49" s="1091">
        <f>'Spiel 8 - Halbfinal'!AH23</f>
        <v>5</v>
      </c>
      <c r="V49" s="1091">
        <f>'Spiel 8 - Halbfinal'!AS23</f>
        <v>6.25</v>
      </c>
      <c r="W49" s="1058"/>
      <c r="X49" s="1088">
        <f>'Spiel 9 - Final'!F24</f>
        <v>6.25</v>
      </c>
      <c r="Y49" s="1088">
        <f>'Spiel 9 - Final'!U24</f>
        <v>9.5</v>
      </c>
      <c r="Z49" s="1088">
        <f>'Spiel 9 - Final'!AF24</f>
        <v>5.1428571428571432</v>
      </c>
      <c r="AA49" s="1088">
        <f>'Spiel 9 - Final'!AU24</f>
        <v>7.1428571428571432</v>
      </c>
      <c r="AB49" s="1049">
        <f>'Spiel 9 - Final'!BF24</f>
        <v>3.3</v>
      </c>
      <c r="AC49" s="1092">
        <f>AC44/(AC45-AC46)</f>
        <v>5.8651685393258424</v>
      </c>
    </row>
    <row r="50" spans="1:29">
      <c r="A50" s="958"/>
      <c r="B50" s="959">
        <v>1</v>
      </c>
      <c r="C50" s="960">
        <v>2</v>
      </c>
      <c r="D50" s="961">
        <v>3</v>
      </c>
      <c r="E50" s="962">
        <v>4</v>
      </c>
      <c r="F50" s="959">
        <v>5</v>
      </c>
      <c r="G50" s="960">
        <v>6</v>
      </c>
      <c r="H50" s="959">
        <v>7</v>
      </c>
      <c r="I50" s="960">
        <v>8</v>
      </c>
      <c r="J50" s="959">
        <v>9</v>
      </c>
      <c r="K50" s="960">
        <v>10</v>
      </c>
      <c r="L50" s="959">
        <v>11</v>
      </c>
      <c r="M50" s="963">
        <v>12</v>
      </c>
      <c r="N50" s="959">
        <v>13</v>
      </c>
      <c r="O50" s="963">
        <v>14</v>
      </c>
      <c r="P50" s="963">
        <v>15</v>
      </c>
      <c r="Q50" s="963">
        <v>16</v>
      </c>
      <c r="R50" s="960">
        <v>17</v>
      </c>
      <c r="S50" s="959">
        <v>18</v>
      </c>
      <c r="T50" s="963">
        <v>19</v>
      </c>
      <c r="U50" s="963">
        <v>20</v>
      </c>
      <c r="V50" s="963">
        <v>21</v>
      </c>
      <c r="W50" s="960">
        <v>22</v>
      </c>
      <c r="X50" s="963">
        <v>23</v>
      </c>
      <c r="Y50" s="963">
        <v>24</v>
      </c>
      <c r="Z50" s="963">
        <v>25</v>
      </c>
      <c r="AA50" s="963">
        <v>26</v>
      </c>
      <c r="AB50" s="960">
        <v>27</v>
      </c>
      <c r="AC50" s="965" t="s">
        <v>7</v>
      </c>
    </row>
    <row r="51" spans="1:29">
      <c r="A51" s="1093" t="s">
        <v>117</v>
      </c>
      <c r="B51" s="1094"/>
      <c r="C51" s="1095"/>
      <c r="D51" s="1096"/>
      <c r="E51" s="1097"/>
      <c r="F51" s="1095"/>
      <c r="G51" s="1098"/>
      <c r="H51" s="1094"/>
      <c r="I51" s="1098"/>
      <c r="J51" s="1094"/>
      <c r="K51" s="1095"/>
      <c r="L51" s="1096"/>
      <c r="M51" s="1097"/>
      <c r="N51" s="1096"/>
      <c r="O51" s="1099"/>
      <c r="P51" s="1099"/>
      <c r="Q51" s="1099"/>
      <c r="R51" s="1097"/>
      <c r="S51" s="1096"/>
      <c r="T51" s="1099"/>
      <c r="U51" s="1099"/>
      <c r="V51" s="1099"/>
      <c r="W51" s="1097"/>
      <c r="X51" s="1095"/>
      <c r="Y51" s="1095"/>
      <c r="Z51" s="1095"/>
      <c r="AA51" s="1095"/>
      <c r="AB51" s="1098"/>
      <c r="AC51" s="1100"/>
    </row>
    <row r="52" spans="1:29">
      <c r="A52" s="971" t="s">
        <v>3</v>
      </c>
      <c r="B52" s="1101">
        <f t="shared" ref="B52:M52" si="13">B60+B68+B76+B84</f>
        <v>48</v>
      </c>
      <c r="C52" s="973">
        <f t="shared" si="13"/>
        <v>50</v>
      </c>
      <c r="D52" s="972">
        <f t="shared" si="13"/>
        <v>50</v>
      </c>
      <c r="E52" s="978">
        <f t="shared" si="13"/>
        <v>50</v>
      </c>
      <c r="F52" s="1102">
        <f t="shared" si="13"/>
        <v>35</v>
      </c>
      <c r="G52" s="978">
        <f t="shared" si="13"/>
        <v>50</v>
      </c>
      <c r="H52" s="972">
        <f t="shared" si="13"/>
        <v>50</v>
      </c>
      <c r="I52" s="978">
        <f t="shared" si="13"/>
        <v>50</v>
      </c>
      <c r="J52" s="972">
        <f t="shared" si="13"/>
        <v>50</v>
      </c>
      <c r="K52" s="973">
        <f t="shared" si="13"/>
        <v>50</v>
      </c>
      <c r="L52" s="972">
        <f t="shared" si="13"/>
        <v>50</v>
      </c>
      <c r="M52" s="978">
        <f t="shared" si="13"/>
        <v>50</v>
      </c>
      <c r="N52" s="972">
        <f t="shared" ref="N52:AB52" si="14">N60+N68+N76+N84</f>
        <v>50</v>
      </c>
      <c r="O52" s="973">
        <f t="shared" si="14"/>
        <v>50</v>
      </c>
      <c r="P52" s="973">
        <f t="shared" si="14"/>
        <v>50</v>
      </c>
      <c r="Q52" s="981"/>
      <c r="R52" s="983"/>
      <c r="S52" s="1101">
        <f t="shared" si="14"/>
        <v>44</v>
      </c>
      <c r="T52" s="973">
        <f t="shared" si="14"/>
        <v>50</v>
      </c>
      <c r="U52" s="973">
        <f t="shared" si="14"/>
        <v>50</v>
      </c>
      <c r="V52" s="1103">
        <f t="shared" si="14"/>
        <v>38</v>
      </c>
      <c r="W52" s="978">
        <f t="shared" si="14"/>
        <v>50</v>
      </c>
      <c r="X52" s="973">
        <f t="shared" si="14"/>
        <v>50</v>
      </c>
      <c r="Y52" s="973">
        <f t="shared" si="14"/>
        <v>50</v>
      </c>
      <c r="Z52" s="1103">
        <f t="shared" si="14"/>
        <v>38</v>
      </c>
      <c r="AA52" s="1103">
        <f t="shared" si="14"/>
        <v>47</v>
      </c>
      <c r="AB52" s="978">
        <f t="shared" si="14"/>
        <v>50</v>
      </c>
      <c r="AC52" s="979">
        <f>SUM(B52:AB52)</f>
        <v>1200</v>
      </c>
    </row>
    <row r="53" spans="1:29">
      <c r="A53" s="971" t="s">
        <v>4</v>
      </c>
      <c r="B53" s="980">
        <f t="shared" ref="B53:K53" si="15">B61+B69+B77+B85</f>
        <v>9</v>
      </c>
      <c r="C53" s="981">
        <f t="shared" si="15"/>
        <v>7</v>
      </c>
      <c r="D53" s="980">
        <f t="shared" si="15"/>
        <v>6</v>
      </c>
      <c r="E53" s="983">
        <f t="shared" si="15"/>
        <v>9</v>
      </c>
      <c r="F53" s="981">
        <f t="shared" si="15"/>
        <v>6</v>
      </c>
      <c r="G53" s="984">
        <f t="shared" si="15"/>
        <v>7</v>
      </c>
      <c r="H53" s="980">
        <f t="shared" si="15"/>
        <v>6</v>
      </c>
      <c r="I53" s="1104">
        <f t="shared" si="15"/>
        <v>9</v>
      </c>
      <c r="J53" s="982">
        <f t="shared" si="15"/>
        <v>7</v>
      </c>
      <c r="K53" s="1105">
        <f t="shared" si="15"/>
        <v>8</v>
      </c>
      <c r="L53" s="980">
        <f>L61+L69+L77+L85</f>
        <v>6</v>
      </c>
      <c r="M53" s="983">
        <f>M61+M69+M77+M85</f>
        <v>8</v>
      </c>
      <c r="N53" s="982">
        <f t="shared" ref="N53:AB53" si="16">N61+N69+N77+N85</f>
        <v>9</v>
      </c>
      <c r="O53" s="981">
        <f t="shared" si="16"/>
        <v>11</v>
      </c>
      <c r="P53" s="981">
        <f t="shared" si="16"/>
        <v>8</v>
      </c>
      <c r="Q53" s="981"/>
      <c r="R53" s="983"/>
      <c r="S53" s="982">
        <f t="shared" si="16"/>
        <v>9</v>
      </c>
      <c r="T53" s="981">
        <f t="shared" si="16"/>
        <v>6</v>
      </c>
      <c r="U53" s="981">
        <f t="shared" si="16"/>
        <v>7</v>
      </c>
      <c r="V53" s="981">
        <f t="shared" si="16"/>
        <v>8</v>
      </c>
      <c r="W53" s="983">
        <f t="shared" si="16"/>
        <v>8</v>
      </c>
      <c r="X53" s="981">
        <f t="shared" si="16"/>
        <v>6</v>
      </c>
      <c r="Y53" s="981">
        <f t="shared" si="16"/>
        <v>9</v>
      </c>
      <c r="Z53" s="981">
        <f t="shared" si="16"/>
        <v>6</v>
      </c>
      <c r="AA53" s="981">
        <f t="shared" si="16"/>
        <v>7</v>
      </c>
      <c r="AB53" s="984">
        <f t="shared" si="16"/>
        <v>8</v>
      </c>
      <c r="AC53" s="985">
        <f>SUM(B53:AB53)</f>
        <v>190</v>
      </c>
    </row>
    <row r="54" spans="1:29">
      <c r="A54" s="971" t="s">
        <v>6</v>
      </c>
      <c r="B54" s="980">
        <f t="shared" ref="B54:K54" si="17">B62+B70+B78+B86</f>
        <v>1</v>
      </c>
      <c r="C54" s="986">
        <f t="shared" si="17"/>
        <v>1</v>
      </c>
      <c r="D54" s="972">
        <f t="shared" si="17"/>
        <v>0</v>
      </c>
      <c r="E54" s="978">
        <f t="shared" si="17"/>
        <v>0</v>
      </c>
      <c r="F54" s="980">
        <f t="shared" si="17"/>
        <v>1</v>
      </c>
      <c r="G54" s="978">
        <f t="shared" si="17"/>
        <v>0</v>
      </c>
      <c r="H54" s="972">
        <f t="shared" si="17"/>
        <v>0</v>
      </c>
      <c r="I54" s="1104">
        <f t="shared" si="17"/>
        <v>2</v>
      </c>
      <c r="J54" s="972">
        <f t="shared" si="17"/>
        <v>0</v>
      </c>
      <c r="K54" s="113">
        <f t="shared" si="17"/>
        <v>1</v>
      </c>
      <c r="L54" s="972">
        <f>L62+L70+L78+L86</f>
        <v>0</v>
      </c>
      <c r="M54" s="978">
        <f>M62+M70+M78+M86</f>
        <v>0</v>
      </c>
      <c r="N54" s="982">
        <f t="shared" ref="N54:AB54" si="18">N62+N70+N78+N86</f>
        <v>1</v>
      </c>
      <c r="O54" s="981">
        <f t="shared" si="18"/>
        <v>3</v>
      </c>
      <c r="P54" s="981">
        <f t="shared" si="18"/>
        <v>1</v>
      </c>
      <c r="Q54" s="981"/>
      <c r="R54" s="983"/>
      <c r="S54" s="982">
        <f t="shared" si="18"/>
        <v>3</v>
      </c>
      <c r="T54" s="973">
        <f t="shared" si="18"/>
        <v>0</v>
      </c>
      <c r="U54" s="973">
        <f t="shared" si="18"/>
        <v>0</v>
      </c>
      <c r="V54" s="981">
        <f t="shared" si="18"/>
        <v>3</v>
      </c>
      <c r="W54" s="983">
        <f t="shared" si="18"/>
        <v>1</v>
      </c>
      <c r="X54" s="973">
        <f t="shared" si="18"/>
        <v>0</v>
      </c>
      <c r="Y54" s="981">
        <f t="shared" si="18"/>
        <v>1</v>
      </c>
      <c r="Z54" s="981">
        <f t="shared" si="18"/>
        <v>1</v>
      </c>
      <c r="AA54" s="981">
        <f t="shared" si="18"/>
        <v>1</v>
      </c>
      <c r="AB54" s="984">
        <f t="shared" si="18"/>
        <v>1</v>
      </c>
      <c r="AC54" s="987">
        <f>SUM(B54:AB54)</f>
        <v>22</v>
      </c>
    </row>
    <row r="55" spans="1:29">
      <c r="A55" s="971" t="s">
        <v>12</v>
      </c>
      <c r="B55" s="988">
        <f>B54/B53</f>
        <v>0.1111111111111111</v>
      </c>
      <c r="C55" s="990">
        <f>C54/C53</f>
        <v>0.14285714285714285</v>
      </c>
      <c r="D55" s="1043">
        <f>D54/D53</f>
        <v>0</v>
      </c>
      <c r="E55" s="1042">
        <f>E54/E53</f>
        <v>0</v>
      </c>
      <c r="F55" s="988">
        <f t="shared" ref="F55:M55" si="19">F54/F53</f>
        <v>0.16666666666666666</v>
      </c>
      <c r="G55" s="1042">
        <f t="shared" si="19"/>
        <v>0</v>
      </c>
      <c r="H55" s="1043">
        <f t="shared" si="19"/>
        <v>0</v>
      </c>
      <c r="I55" s="994">
        <f t="shared" si="19"/>
        <v>0.22222222222222221</v>
      </c>
      <c r="J55" s="1043">
        <f t="shared" si="19"/>
        <v>0</v>
      </c>
      <c r="K55" s="1084">
        <f t="shared" si="19"/>
        <v>0.125</v>
      </c>
      <c r="L55" s="1043">
        <f t="shared" si="19"/>
        <v>0</v>
      </c>
      <c r="M55" s="1042">
        <f t="shared" si="19"/>
        <v>0</v>
      </c>
      <c r="N55" s="993">
        <f t="shared" ref="N55:AB55" si="20">N54/N53</f>
        <v>0.1111111111111111</v>
      </c>
      <c r="O55" s="992">
        <f t="shared" si="20"/>
        <v>0.27272727272727271</v>
      </c>
      <c r="P55" s="992">
        <f t="shared" si="20"/>
        <v>0.125</v>
      </c>
      <c r="Q55" s="992"/>
      <c r="R55" s="994"/>
      <c r="S55" s="993">
        <f t="shared" si="20"/>
        <v>0.33333333333333331</v>
      </c>
      <c r="T55" s="989">
        <f t="shared" si="20"/>
        <v>0</v>
      </c>
      <c r="U55" s="989">
        <f t="shared" si="20"/>
        <v>0</v>
      </c>
      <c r="V55" s="992">
        <f t="shared" si="20"/>
        <v>0.375</v>
      </c>
      <c r="W55" s="994">
        <f t="shared" si="20"/>
        <v>0.125</v>
      </c>
      <c r="X55" s="989">
        <f t="shared" si="20"/>
        <v>0</v>
      </c>
      <c r="Y55" s="992">
        <f t="shared" si="20"/>
        <v>0.1111111111111111</v>
      </c>
      <c r="Z55" s="992">
        <f t="shared" si="20"/>
        <v>0.16666666666666666</v>
      </c>
      <c r="AA55" s="992">
        <f t="shared" si="20"/>
        <v>0.14285714285714285</v>
      </c>
      <c r="AB55" s="995">
        <f t="shared" si="20"/>
        <v>0.125</v>
      </c>
      <c r="AC55" s="996">
        <f>AC54/AC53</f>
        <v>0.11578947368421053</v>
      </c>
    </row>
    <row r="56" spans="1:29">
      <c r="A56" s="971" t="s">
        <v>5</v>
      </c>
      <c r="B56" s="997">
        <f t="shared" ref="B56:E57" si="21">(B64+B72+B80+B88)/4</f>
        <v>5.7083333333333339</v>
      </c>
      <c r="C56" s="998">
        <f t="shared" si="21"/>
        <v>7.5</v>
      </c>
      <c r="D56" s="999">
        <f t="shared" si="21"/>
        <v>8.75</v>
      </c>
      <c r="E56" s="1000">
        <f t="shared" si="21"/>
        <v>5.375</v>
      </c>
      <c r="F56" s="1106">
        <f t="shared" ref="F56:M57" si="22">(F64+F72+F80+F88)/4</f>
        <v>5.125</v>
      </c>
      <c r="G56" s="1001">
        <f t="shared" si="22"/>
        <v>7.625</v>
      </c>
      <c r="H56" s="999">
        <f t="shared" si="22"/>
        <v>8</v>
      </c>
      <c r="I56" s="1107">
        <f t="shared" si="22"/>
        <v>5.416666666666667</v>
      </c>
      <c r="J56" s="997">
        <f t="shared" si="22"/>
        <v>7.25</v>
      </c>
      <c r="K56" s="1108">
        <f t="shared" si="22"/>
        <v>6.25</v>
      </c>
      <c r="L56" s="999">
        <f t="shared" si="22"/>
        <v>7.75</v>
      </c>
      <c r="M56" s="1000">
        <f t="shared" si="22"/>
        <v>6.25</v>
      </c>
      <c r="N56" s="997">
        <f t="shared" ref="N56:AB56" si="23">(N64+N72+N80+N88)/4</f>
        <v>5.2083333333333339</v>
      </c>
      <c r="O56" s="998">
        <f t="shared" si="23"/>
        <v>4.25</v>
      </c>
      <c r="P56" s="998">
        <f t="shared" si="23"/>
        <v>6.25</v>
      </c>
      <c r="Q56" s="998"/>
      <c r="R56" s="1000"/>
      <c r="S56" s="997">
        <f t="shared" si="23"/>
        <v>4.791666666666667</v>
      </c>
      <c r="T56" s="998">
        <f t="shared" si="23"/>
        <v>8.125</v>
      </c>
      <c r="U56" s="998">
        <f t="shared" si="23"/>
        <v>7</v>
      </c>
      <c r="V56" s="998">
        <f t="shared" si="23"/>
        <v>4.75</v>
      </c>
      <c r="W56" s="1000">
        <f t="shared" si="23"/>
        <v>6.25</v>
      </c>
      <c r="X56" s="998">
        <f t="shared" si="23"/>
        <v>8.125</v>
      </c>
      <c r="Y56" s="998">
        <f t="shared" si="23"/>
        <v>5.625</v>
      </c>
      <c r="Z56" s="998">
        <f t="shared" si="23"/>
        <v>6.375</v>
      </c>
      <c r="AA56" s="998">
        <f t="shared" si="23"/>
        <v>5.875</v>
      </c>
      <c r="AB56" s="1001">
        <f t="shared" si="23"/>
        <v>6.25</v>
      </c>
      <c r="AC56" s="1002">
        <f>AC52/AC53</f>
        <v>6.3157894736842106</v>
      </c>
    </row>
    <row r="57" spans="1:29">
      <c r="A57" s="1003" t="s">
        <v>8</v>
      </c>
      <c r="B57" s="1004">
        <f t="shared" si="21"/>
        <v>5.9583333333333339</v>
      </c>
      <c r="C57" s="1005">
        <f t="shared" si="21"/>
        <v>8.625</v>
      </c>
      <c r="D57" s="1109">
        <f t="shared" si="21"/>
        <v>8.75</v>
      </c>
      <c r="E57" s="1006">
        <f t="shared" si="21"/>
        <v>5.375</v>
      </c>
      <c r="F57" s="1005">
        <f t="shared" ref="F57:K57" si="24">(F65+F73+F81+F89)/4</f>
        <v>5.125</v>
      </c>
      <c r="G57" s="1110">
        <f t="shared" si="24"/>
        <v>7.625</v>
      </c>
      <c r="H57" s="1109">
        <f t="shared" si="24"/>
        <v>8</v>
      </c>
      <c r="I57" s="1111">
        <f t="shared" si="24"/>
        <v>6.916666666666667</v>
      </c>
      <c r="J57" s="1004">
        <f t="shared" si="24"/>
        <v>7.25</v>
      </c>
      <c r="K57" s="1112">
        <f t="shared" si="24"/>
        <v>7.5</v>
      </c>
      <c r="L57" s="999">
        <f t="shared" si="22"/>
        <v>7.75</v>
      </c>
      <c r="M57" s="1000">
        <f t="shared" si="22"/>
        <v>6.25</v>
      </c>
      <c r="N57" s="1004">
        <f t="shared" ref="N57:AB57" si="25">(N65+N73+N81+N89)/4</f>
        <v>5.9583333333333339</v>
      </c>
      <c r="O57" s="1005">
        <f t="shared" si="25"/>
        <v>5.5</v>
      </c>
      <c r="P57" s="1005">
        <f t="shared" si="25"/>
        <v>7</v>
      </c>
      <c r="Q57" s="1005"/>
      <c r="R57" s="1006"/>
      <c r="S57" s="1004">
        <f t="shared" si="25"/>
        <v>5.5</v>
      </c>
      <c r="T57" s="1005">
        <f t="shared" si="25"/>
        <v>8.125</v>
      </c>
      <c r="U57" s="1005">
        <f t="shared" si="25"/>
        <v>7</v>
      </c>
      <c r="V57" s="1005">
        <f t="shared" si="25"/>
        <v>5.5</v>
      </c>
      <c r="W57" s="1006">
        <f t="shared" si="25"/>
        <v>7</v>
      </c>
      <c r="X57" s="998">
        <f t="shared" si="25"/>
        <v>8.125</v>
      </c>
      <c r="Y57" s="998">
        <f t="shared" si="25"/>
        <v>5.875</v>
      </c>
      <c r="Z57" s="998">
        <f t="shared" si="25"/>
        <v>7.625</v>
      </c>
      <c r="AA57" s="998">
        <f t="shared" si="25"/>
        <v>5.875</v>
      </c>
      <c r="AB57" s="1001">
        <f t="shared" si="25"/>
        <v>7</v>
      </c>
      <c r="AC57" s="1007">
        <f>AC52/(AC53-AC54)</f>
        <v>7.1428571428571432</v>
      </c>
    </row>
    <row r="58" spans="1:29" ht="3" customHeight="1">
      <c r="B58" s="1113"/>
      <c r="C58" s="1114"/>
      <c r="D58" s="1113"/>
      <c r="E58" s="1114"/>
      <c r="F58" s="1113"/>
      <c r="G58" s="1114"/>
      <c r="H58" s="1113"/>
      <c r="I58" s="1114"/>
      <c r="J58" s="1113"/>
      <c r="K58" s="1115"/>
      <c r="L58" s="1059"/>
      <c r="M58" s="1061"/>
      <c r="N58" s="1060"/>
      <c r="O58" s="1060"/>
      <c r="P58" s="1060"/>
      <c r="Q58" s="1060"/>
      <c r="R58" s="1060"/>
      <c r="S58" s="1060"/>
      <c r="T58" s="1060"/>
      <c r="U58" s="1060"/>
      <c r="V58" s="1060"/>
      <c r="W58" s="1060"/>
      <c r="X58" s="1060"/>
      <c r="Y58" s="1060"/>
      <c r="Z58" s="1060"/>
      <c r="AA58" s="1060"/>
      <c r="AB58" s="1061"/>
      <c r="AC58" s="1062"/>
    </row>
    <row r="59" spans="1:29" hidden="1" outlineLevel="1">
      <c r="A59" s="1116" t="s">
        <v>120</v>
      </c>
      <c r="B59" s="1117"/>
      <c r="C59" s="1118"/>
      <c r="D59" s="1117"/>
      <c r="E59" s="1119"/>
      <c r="F59" s="1117"/>
      <c r="G59" s="1119"/>
      <c r="H59" s="1117"/>
      <c r="I59" s="1119"/>
      <c r="J59" s="1117"/>
      <c r="K59" s="1118"/>
      <c r="L59" s="1120"/>
      <c r="M59" s="1121"/>
      <c r="N59" s="1122"/>
      <c r="O59" s="1122"/>
      <c r="P59" s="1122"/>
      <c r="Q59" s="1122"/>
      <c r="R59" s="1122"/>
      <c r="S59" s="1117"/>
      <c r="T59" s="1118"/>
      <c r="U59" s="1118"/>
      <c r="V59" s="1118"/>
      <c r="W59" s="1119"/>
      <c r="X59" s="1122"/>
      <c r="Y59" s="1122"/>
      <c r="Z59" s="1122"/>
      <c r="AA59" s="1122"/>
      <c r="AB59" s="1121"/>
      <c r="AC59" s="1123"/>
    </row>
    <row r="60" spans="1:29" hidden="1" outlineLevel="1">
      <c r="A60" s="971" t="s">
        <v>3</v>
      </c>
      <c r="B60" s="1027">
        <f>'Gruppe A'!J102</f>
        <v>7</v>
      </c>
      <c r="C60" s="113">
        <f>'Gruppe A'!BF14</f>
        <v>10</v>
      </c>
      <c r="D60" s="1028">
        <f>'Gruppe A'!BP14</f>
        <v>16</v>
      </c>
      <c r="E60" s="1029">
        <f>'Gruppe A'!L124</f>
        <v>14</v>
      </c>
      <c r="F60" s="113">
        <f>'Gruppe A'!K35</f>
        <v>24</v>
      </c>
      <c r="G60" s="1031">
        <f>'Gruppe A'!S14</f>
        <v>11</v>
      </c>
      <c r="H60" s="1027">
        <f>'Gruppe A'!CC14</f>
        <v>19</v>
      </c>
      <c r="I60" s="1029">
        <f>'Gruppe A'!L148</f>
        <v>10</v>
      </c>
      <c r="J60" s="1028">
        <f>'Gruppe A'!K79</f>
        <v>14</v>
      </c>
      <c r="K60" s="1079">
        <f>'Gruppe A'!AR14</f>
        <v>8</v>
      </c>
      <c r="L60" s="1027">
        <f>'Gruppe A'!AE14</f>
        <v>6</v>
      </c>
      <c r="M60" s="1031">
        <f>'Gruppe A'!J60</f>
        <v>18</v>
      </c>
      <c r="N60" s="113">
        <f>'Spiel 7 - Viertelfinal'!B69</f>
        <v>25</v>
      </c>
      <c r="O60" s="113">
        <f>'Spiel 7 - Viertelfinal'!Y69</f>
        <v>2</v>
      </c>
      <c r="P60" s="113">
        <f>'Spiel 7 - Viertelfinal'!AB69</f>
        <v>20</v>
      </c>
      <c r="Q60" s="113"/>
      <c r="R60" s="113"/>
      <c r="S60" s="1028">
        <f>'Spiel 8 - Halbfinal'!B38</f>
        <v>17</v>
      </c>
      <c r="T60" s="113">
        <f>'Spiel 8 - Halbfinal'!Y38</f>
        <v>5</v>
      </c>
      <c r="U60" s="113">
        <f>'Spiel 8 - Halbfinal'!AC38</f>
        <v>15</v>
      </c>
      <c r="V60" s="113">
        <f>'Spiel 8 - Halbfinal'!AY38</f>
        <v>18</v>
      </c>
      <c r="W60" s="1029">
        <f>'Spiel 8 - Halbfinal'!BE38</f>
        <v>9</v>
      </c>
      <c r="X60" s="113">
        <f>'Spiel 9 - Final'!K39</f>
        <v>3</v>
      </c>
      <c r="Y60" s="113">
        <f>'Spiel 9 - Final'!O39</f>
        <v>15</v>
      </c>
      <c r="Z60" s="113">
        <f>'Spiel 9 - Final'!AL39</f>
        <v>11</v>
      </c>
      <c r="AA60" s="113">
        <f>'Spiel 9 - Final'!AP39</f>
        <v>16</v>
      </c>
      <c r="AB60" s="1031">
        <f>'Spiel 9 - Final'!BD39</f>
        <v>6</v>
      </c>
      <c r="AC60" s="979">
        <f>SUM(B60:AB60)</f>
        <v>319</v>
      </c>
    </row>
    <row r="61" spans="1:29" hidden="1" outlineLevel="1">
      <c r="A61" s="971" t="s">
        <v>4</v>
      </c>
      <c r="B61" s="1028">
        <f>'Gruppe A'!J103</f>
        <v>3</v>
      </c>
      <c r="C61" s="1079">
        <f>'Gruppe A'!BF15</f>
        <v>1</v>
      </c>
      <c r="D61" s="1028">
        <f>'Gruppe A'!BP15</f>
        <v>2</v>
      </c>
      <c r="E61" s="1031">
        <f>'Gruppe A'!L125</f>
        <v>2</v>
      </c>
      <c r="F61" s="1079">
        <f>'Gruppe A'!K36</f>
        <v>2</v>
      </c>
      <c r="G61" s="1030">
        <f>'Gruppe A'!S15</f>
        <v>1</v>
      </c>
      <c r="H61" s="1028">
        <f>'Gruppe A'!CC15</f>
        <v>2</v>
      </c>
      <c r="I61" s="1029">
        <f>'Gruppe A'!L149</f>
        <v>2</v>
      </c>
      <c r="J61" s="1027">
        <f>'Gruppe A'!K80</f>
        <v>2</v>
      </c>
      <c r="K61" s="113">
        <f>'Gruppe A'!AR15</f>
        <v>2</v>
      </c>
      <c r="L61" s="1028">
        <f>'Gruppe A'!AE15</f>
        <v>1</v>
      </c>
      <c r="M61" s="1031">
        <f>'Gruppe A'!J61</f>
        <v>2</v>
      </c>
      <c r="N61" s="113">
        <f>'Spiel 7 - Viertelfinal'!B70</f>
        <v>3</v>
      </c>
      <c r="O61" s="113">
        <f>'Spiel 7 - Viertelfinal'!Y70</f>
        <v>2</v>
      </c>
      <c r="P61" s="113">
        <f>'Spiel 7 - Viertelfinal'!AB70</f>
        <v>2</v>
      </c>
      <c r="Q61" s="434"/>
      <c r="R61" s="434"/>
      <c r="S61" s="1024">
        <f>'Spiel 8 - Halbfinal'!B39</f>
        <v>3</v>
      </c>
      <c r="T61" s="434">
        <f>'Spiel 8 - Halbfinal'!Y39</f>
        <v>1</v>
      </c>
      <c r="U61" s="434">
        <f>'Spiel 8 - Halbfinal'!AC39</f>
        <v>2</v>
      </c>
      <c r="V61" s="434">
        <f>'Spiel 8 - Halbfinal'!AY39</f>
        <v>2</v>
      </c>
      <c r="W61" s="1025">
        <f>'Spiel 8 - Halbfinal'!BE39</f>
        <v>2</v>
      </c>
      <c r="X61" s="434">
        <f>'Spiel 9 - Final'!K40</f>
        <v>1</v>
      </c>
      <c r="Y61" s="434">
        <f>'Spiel 9 - Final'!O40</f>
        <v>3</v>
      </c>
      <c r="Z61" s="434">
        <f>'Spiel 9 - Final'!AL40</f>
        <v>1</v>
      </c>
      <c r="AA61" s="434">
        <f>'Spiel 9 - Final'!AP40</f>
        <v>2</v>
      </c>
      <c r="AB61" s="1025">
        <f>'Spiel 9 - Final'!BD40</f>
        <v>2</v>
      </c>
      <c r="AC61" s="985">
        <f>SUM(B61:AB61)</f>
        <v>48</v>
      </c>
    </row>
    <row r="62" spans="1:29" hidden="1" outlineLevel="1">
      <c r="A62" s="971" t="s">
        <v>6</v>
      </c>
      <c r="B62" s="972">
        <f>'Gruppe A'!J104</f>
        <v>0</v>
      </c>
      <c r="C62" s="973">
        <f>'Gruppe A'!BF16</f>
        <v>0</v>
      </c>
      <c r="D62" s="972">
        <f>'Gruppe A'!BP16</f>
        <v>0</v>
      </c>
      <c r="E62" s="978">
        <f>'Gruppe A'!L126</f>
        <v>0</v>
      </c>
      <c r="F62" s="972">
        <f>'Gruppe A'!K37</f>
        <v>0</v>
      </c>
      <c r="G62" s="978">
        <f>'Gruppe A'!S16</f>
        <v>0</v>
      </c>
      <c r="H62" s="972">
        <f>'Gruppe A'!CC16</f>
        <v>0</v>
      </c>
      <c r="I62" s="1029">
        <f>'Gruppe A'!L150</f>
        <v>1</v>
      </c>
      <c r="J62" s="972">
        <f>'Gruppe A'!K81</f>
        <v>0</v>
      </c>
      <c r="K62" s="973">
        <f>'Gruppe A'!AR16</f>
        <v>0</v>
      </c>
      <c r="L62" s="972">
        <f>'Gruppe A'!AE16</f>
        <v>0</v>
      </c>
      <c r="M62" s="978">
        <f>'Gruppe A'!J62</f>
        <v>0</v>
      </c>
      <c r="N62" s="973">
        <f>'Spiel 7 - Viertelfinal'!B71</f>
        <v>0</v>
      </c>
      <c r="O62" s="113">
        <f>'Spiel 7 - Viertelfinal'!Y71</f>
        <v>1</v>
      </c>
      <c r="P62" s="973">
        <f>'Spiel 7 - Viertelfinal'!AB71</f>
        <v>0</v>
      </c>
      <c r="Q62" s="113"/>
      <c r="R62" s="113"/>
      <c r="S62" s="1028">
        <f>'Spiel 8 - Halbfinal'!B40</f>
        <v>1</v>
      </c>
      <c r="T62" s="973">
        <f>'Spiel 8 - Halbfinal'!Y40</f>
        <v>0</v>
      </c>
      <c r="U62" s="973">
        <f>'Spiel 8 - Halbfinal'!AC40</f>
        <v>0</v>
      </c>
      <c r="V62" s="973">
        <f>'Spiel 8 - Halbfinal'!AY40</f>
        <v>0</v>
      </c>
      <c r="W62" s="978">
        <f>'Spiel 8 - Halbfinal'!BE40</f>
        <v>0</v>
      </c>
      <c r="X62" s="973">
        <f>'Spiel 9 - Final'!K41</f>
        <v>0</v>
      </c>
      <c r="Y62" s="973">
        <f>'Spiel 9 - Final'!O41</f>
        <v>0</v>
      </c>
      <c r="Z62" s="973">
        <f>'Spiel 9 - Final'!AL41</f>
        <v>0</v>
      </c>
      <c r="AA62" s="973">
        <f>'Spiel 9 - Final'!AP41</f>
        <v>0</v>
      </c>
      <c r="AB62" s="1029">
        <f>'Spiel 9 - Final'!BD41</f>
        <v>1</v>
      </c>
      <c r="AC62" s="1036">
        <f>SUM(B62:AB62)</f>
        <v>4</v>
      </c>
    </row>
    <row r="63" spans="1:29" hidden="1" outlineLevel="1">
      <c r="A63" s="971" t="s">
        <v>12</v>
      </c>
      <c r="B63" s="1043">
        <f>'Gruppe A'!J105</f>
        <v>0</v>
      </c>
      <c r="C63" s="989">
        <f>'Gruppe A'!BF17</f>
        <v>0</v>
      </c>
      <c r="D63" s="1043">
        <f>'Gruppe A'!BP17</f>
        <v>0</v>
      </c>
      <c r="E63" s="1042">
        <f>'Gruppe A'!L127</f>
        <v>0</v>
      </c>
      <c r="F63" s="1043">
        <f>'Gruppe A'!K38</f>
        <v>0</v>
      </c>
      <c r="G63" s="1042">
        <f>'Gruppe A'!S17</f>
        <v>0</v>
      </c>
      <c r="H63" s="1043">
        <f>'Gruppe A'!CC17</f>
        <v>0</v>
      </c>
      <c r="I63" s="1085">
        <f>'Gruppe A'!L151</f>
        <v>0.5</v>
      </c>
      <c r="J63" s="1043">
        <f>'Gruppe A'!K82</f>
        <v>0</v>
      </c>
      <c r="K63" s="989">
        <f>'Gruppe A'!AR17</f>
        <v>0</v>
      </c>
      <c r="L63" s="1043">
        <f>'Gruppe A'!AE17</f>
        <v>0</v>
      </c>
      <c r="M63" s="1042">
        <f>'Gruppe A'!J63</f>
        <v>0</v>
      </c>
      <c r="N63" s="989">
        <f>'Spiel 7 - Viertelfinal'!B72</f>
        <v>0</v>
      </c>
      <c r="O63" s="1084">
        <f>'Spiel 7 - Viertelfinal'!Y72</f>
        <v>0.5</v>
      </c>
      <c r="P63" s="989">
        <f>'Spiel 7 - Viertelfinal'!AB72</f>
        <v>0</v>
      </c>
      <c r="Q63" s="1084"/>
      <c r="R63" s="1084"/>
      <c r="S63" s="1083">
        <f>'Spiel 8 - Halbfinal'!B41</f>
        <v>0.33333333333333331</v>
      </c>
      <c r="T63" s="989">
        <f>'Spiel 8 - Halbfinal'!Y41</f>
        <v>0</v>
      </c>
      <c r="U63" s="989">
        <f>'Spiel 8 - Halbfinal'!AC41</f>
        <v>0</v>
      </c>
      <c r="V63" s="989">
        <f>'Spiel 8 - Halbfinal'!AY41</f>
        <v>0</v>
      </c>
      <c r="W63" s="1042">
        <f>'Spiel 8 - Halbfinal'!BE41</f>
        <v>0</v>
      </c>
      <c r="X63" s="989">
        <f>'Spiel 9 - Final'!K42</f>
        <v>0</v>
      </c>
      <c r="Y63" s="989">
        <f>'Spiel 9 - Final'!O42</f>
        <v>0</v>
      </c>
      <c r="Z63" s="989">
        <f>'Spiel 9 - Final'!AL42</f>
        <v>0</v>
      </c>
      <c r="AA63" s="989">
        <f>'Spiel 9 - Final'!AP42</f>
        <v>0</v>
      </c>
      <c r="AB63" s="1085">
        <f>'Spiel 9 - Final'!BD42</f>
        <v>0.5</v>
      </c>
      <c r="AC63" s="996">
        <f>AC62/AC61</f>
        <v>8.3333333333333329E-2</v>
      </c>
    </row>
    <row r="64" spans="1:29" hidden="1" outlineLevel="1">
      <c r="A64" s="971" t="s">
        <v>5</v>
      </c>
      <c r="B64" s="1045">
        <f>'Gruppe A'!J106</f>
        <v>2.3333333333333335</v>
      </c>
      <c r="C64" s="1088">
        <f>'Gruppe A'!BF18</f>
        <v>10</v>
      </c>
      <c r="D64" s="1047">
        <f>'Gruppe A'!BP18</f>
        <v>8</v>
      </c>
      <c r="E64" s="1050">
        <f>'Gruppe A'!L128</f>
        <v>7</v>
      </c>
      <c r="F64" s="1124">
        <f>'Gruppe A'!K39</f>
        <v>12</v>
      </c>
      <c r="G64" s="1049">
        <f>'Gruppe A'!S18</f>
        <v>11</v>
      </c>
      <c r="H64" s="1047">
        <f>'Gruppe A'!CC18</f>
        <v>9.5</v>
      </c>
      <c r="I64" s="1048">
        <f>'Gruppe A'!L152</f>
        <v>5</v>
      </c>
      <c r="J64" s="1045">
        <f>'Gruppe A'!K83</f>
        <v>7</v>
      </c>
      <c r="K64" s="1046">
        <f>'Gruppe A'!AR18</f>
        <v>4</v>
      </c>
      <c r="L64" s="1047">
        <f>'Gruppe A'!AE18</f>
        <v>6</v>
      </c>
      <c r="M64" s="1050">
        <f>'Gruppe A'!J64</f>
        <v>9</v>
      </c>
      <c r="N64" s="1046">
        <f>'Spiel 7 - Viertelfinal'!B73</f>
        <v>8.3333333333333339</v>
      </c>
      <c r="O64" s="1046">
        <f>'Spiel 7 - Viertelfinal'!Y73</f>
        <v>1</v>
      </c>
      <c r="P64" s="1046">
        <f>'Spiel 7 - Viertelfinal'!AB73</f>
        <v>10</v>
      </c>
      <c r="Q64" s="1046"/>
      <c r="R64" s="1046"/>
      <c r="S64" s="1047">
        <f>'Spiel 8 - Halbfinal'!B42</f>
        <v>5.666666666666667</v>
      </c>
      <c r="T64" s="1046">
        <f>'Spiel 8 - Halbfinal'!Y42</f>
        <v>5</v>
      </c>
      <c r="U64" s="1046">
        <f>'Spiel 8 - Halbfinal'!AC42</f>
        <v>7.5</v>
      </c>
      <c r="V64" s="1046">
        <f>'Spiel 8 - Halbfinal'!AY42</f>
        <v>9</v>
      </c>
      <c r="W64" s="1048">
        <f>'Spiel 8 - Halbfinal'!BE42</f>
        <v>4.5</v>
      </c>
      <c r="X64" s="1046">
        <f>'Spiel 9 - Final'!K43</f>
        <v>3</v>
      </c>
      <c r="Y64" s="1046">
        <f>'Spiel 9 - Final'!O43</f>
        <v>5</v>
      </c>
      <c r="Z64" s="1046">
        <f>'Spiel 9 - Final'!AL43</f>
        <v>11</v>
      </c>
      <c r="AA64" s="1046">
        <f>'Spiel 9 - Final'!AP43</f>
        <v>8</v>
      </c>
      <c r="AB64" s="1049">
        <f>'Spiel 9 - Final'!BD43</f>
        <v>3</v>
      </c>
      <c r="AC64" s="1002">
        <f>AC60/AC61</f>
        <v>6.645833333333333</v>
      </c>
    </row>
    <row r="65" spans="1:29" hidden="1" outlineLevel="1">
      <c r="A65" s="1003" t="s">
        <v>8</v>
      </c>
      <c r="B65" s="1053">
        <f>'Gruppe A'!J107</f>
        <v>2.3333333333333335</v>
      </c>
      <c r="C65" s="1091">
        <f>'Gruppe A'!BF19</f>
        <v>10</v>
      </c>
      <c r="D65" s="1055">
        <f>'Gruppe A'!BP19</f>
        <v>8</v>
      </c>
      <c r="E65" s="1058">
        <f>'Gruppe A'!L129</f>
        <v>7</v>
      </c>
      <c r="F65" s="1091">
        <f>'Gruppe A'!K40</f>
        <v>12</v>
      </c>
      <c r="G65" s="1057">
        <f>'Gruppe A'!S19</f>
        <v>11</v>
      </c>
      <c r="H65" s="1055">
        <f>'Gruppe A'!CC19</f>
        <v>9.5</v>
      </c>
      <c r="I65" s="1056">
        <f>'Gruppe A'!L153</f>
        <v>10</v>
      </c>
      <c r="J65" s="1053">
        <f>'Gruppe A'!K84</f>
        <v>7</v>
      </c>
      <c r="K65" s="1054">
        <f>'Gruppe A'!AR19</f>
        <v>4</v>
      </c>
      <c r="L65" s="1047">
        <f>'Gruppe A'!AE19</f>
        <v>6</v>
      </c>
      <c r="M65" s="1050">
        <f>'Gruppe A'!J65</f>
        <v>9</v>
      </c>
      <c r="N65" s="1054">
        <f>'Spiel 7 - Viertelfinal'!B74</f>
        <v>8.3333333333333339</v>
      </c>
      <c r="O65" s="1054">
        <f>'Spiel 7 - Viertelfinal'!Y74</f>
        <v>2</v>
      </c>
      <c r="P65" s="1054">
        <f>'Spiel 7 - Viertelfinal'!AB74</f>
        <v>10</v>
      </c>
      <c r="Q65" s="1054"/>
      <c r="R65" s="1054"/>
      <c r="S65" s="1055">
        <f>'Spiel 8 - Halbfinal'!B43</f>
        <v>8.5</v>
      </c>
      <c r="T65" s="1054">
        <f>'Spiel 8 - Halbfinal'!Y43</f>
        <v>5</v>
      </c>
      <c r="U65" s="1054">
        <f>'Spiel 8 - Halbfinal'!AC43</f>
        <v>7.5</v>
      </c>
      <c r="V65" s="1054">
        <f>'Spiel 8 - Halbfinal'!AY43</f>
        <v>9</v>
      </c>
      <c r="W65" s="1056">
        <f>'Spiel 8 - Halbfinal'!BE43</f>
        <v>4.5</v>
      </c>
      <c r="X65" s="1054">
        <f>'Spiel 9 - Final'!K44</f>
        <v>3</v>
      </c>
      <c r="Y65" s="1054">
        <f>'Spiel 9 - Final'!O44</f>
        <v>5</v>
      </c>
      <c r="Z65" s="1054">
        <f>'Spiel 9 - Final'!AL44</f>
        <v>11</v>
      </c>
      <c r="AA65" s="1054">
        <f>'Spiel 9 - Final'!AP44</f>
        <v>8</v>
      </c>
      <c r="AB65" s="1058">
        <f>'Spiel 9 - Final'!BD44</f>
        <v>6</v>
      </c>
      <c r="AC65" s="1007">
        <f>AC60/(AC61-AC62)</f>
        <v>7.25</v>
      </c>
    </row>
    <row r="66" spans="1:29" ht="3" hidden="1" customHeight="1" outlineLevel="1">
      <c r="B66" s="1024"/>
      <c r="C66" s="1025"/>
      <c r="D66" s="1113"/>
      <c r="E66" s="1114"/>
      <c r="F66" s="1024"/>
      <c r="G66" s="1025"/>
      <c r="H66" s="1024"/>
      <c r="I66" s="1025"/>
      <c r="J66" s="1024"/>
      <c r="K66" s="1025"/>
      <c r="L66" s="1059"/>
      <c r="M66" s="1061"/>
      <c r="N66" s="1060"/>
      <c r="O66" s="1060"/>
      <c r="P66" s="1060"/>
      <c r="Q66" s="1060"/>
      <c r="R66" s="1060"/>
      <c r="S66" s="1060"/>
      <c r="T66" s="1060"/>
      <c r="U66" s="1060"/>
      <c r="V66" s="1060"/>
      <c r="W66" s="1060"/>
      <c r="X66" s="1060"/>
      <c r="Y66" s="1060"/>
      <c r="Z66" s="1060"/>
      <c r="AA66" s="1060"/>
      <c r="AB66" s="1061"/>
      <c r="AC66" s="1062"/>
    </row>
    <row r="67" spans="1:29" hidden="1" outlineLevel="1">
      <c r="A67" s="1116" t="s">
        <v>121</v>
      </c>
      <c r="B67" s="1117"/>
      <c r="C67" s="1118"/>
      <c r="D67" s="1117"/>
      <c r="E67" s="1119"/>
      <c r="F67" s="1117"/>
      <c r="G67" s="1119"/>
      <c r="H67" s="1117"/>
      <c r="I67" s="1119"/>
      <c r="J67" s="1117"/>
      <c r="K67" s="1118"/>
      <c r="L67" s="1120"/>
      <c r="M67" s="1121"/>
      <c r="N67" s="1122"/>
      <c r="O67" s="1122"/>
      <c r="P67" s="1122"/>
      <c r="Q67" s="1122"/>
      <c r="R67" s="1122"/>
      <c r="S67" s="1117"/>
      <c r="T67" s="1118"/>
      <c r="U67" s="1118"/>
      <c r="V67" s="1118"/>
      <c r="W67" s="1119"/>
      <c r="X67" s="1122"/>
      <c r="Y67" s="1122"/>
      <c r="Z67" s="1122"/>
      <c r="AA67" s="1122"/>
      <c r="AB67" s="1121"/>
      <c r="AC67" s="1123"/>
    </row>
    <row r="68" spans="1:29" hidden="1" outlineLevel="1">
      <c r="A68" s="971" t="s">
        <v>3</v>
      </c>
      <c r="B68" s="1027">
        <f>'Gruppe A'!K102</f>
        <v>21</v>
      </c>
      <c r="C68" s="113">
        <f>'Gruppe A'!BC14</f>
        <v>16</v>
      </c>
      <c r="D68" s="1028">
        <f>'Gruppe A'!BQ14</f>
        <v>14</v>
      </c>
      <c r="E68" s="1029">
        <f>'Gruppe A'!M124</f>
        <v>4</v>
      </c>
      <c r="F68" s="113">
        <f>'Gruppe A'!L35</f>
        <v>6</v>
      </c>
      <c r="G68" s="1031">
        <f>'Gruppe A'!P14</f>
        <v>15</v>
      </c>
      <c r="H68" s="1027">
        <f>'Gruppe A'!CD14</f>
        <v>17</v>
      </c>
      <c r="I68" s="1029">
        <f>'Gruppe A'!M148</f>
        <v>2</v>
      </c>
      <c r="J68" s="1028">
        <f>'Gruppe A'!L79</f>
        <v>13</v>
      </c>
      <c r="K68" s="1079">
        <f>'Gruppe A'!AS14</f>
        <v>12</v>
      </c>
      <c r="L68" s="1027">
        <f>'Gruppe A'!AF14</f>
        <v>6</v>
      </c>
      <c r="M68" s="1031">
        <f>'Gruppe A'!K60</f>
        <v>13</v>
      </c>
      <c r="N68" s="113">
        <f>'Spiel 7 - Viertelfinal'!C69</f>
        <v>12</v>
      </c>
      <c r="O68" s="113">
        <f>'Spiel 7 - Viertelfinal'!V69</f>
        <v>17</v>
      </c>
      <c r="P68" s="113">
        <f>'Spiel 7 - Viertelfinal'!AC69</f>
        <v>6</v>
      </c>
      <c r="Q68" s="113"/>
      <c r="R68" s="113"/>
      <c r="S68" s="1028">
        <f>'Spiel 8 - Halbfinal'!C38</f>
        <v>15</v>
      </c>
      <c r="T68" s="113">
        <f>'Spiel 8 - Halbfinal'!V38</f>
        <v>15</v>
      </c>
      <c r="U68" s="113">
        <f>'Spiel 8 - Halbfinal'!AD38</f>
        <v>12</v>
      </c>
      <c r="V68" s="113">
        <f>'Spiel 8 - Halbfinal'!AV38</f>
        <v>0</v>
      </c>
      <c r="W68" s="1029">
        <f>'Spiel 8 - Halbfinal'!BB38</f>
        <v>18</v>
      </c>
      <c r="X68" s="113">
        <f>'Spiel 9 - Final'!L39</f>
        <v>12</v>
      </c>
      <c r="Y68" s="113">
        <f>'Spiel 9 - Final'!P39</f>
        <v>19</v>
      </c>
      <c r="Z68" s="113">
        <f>'Spiel 9 - Final'!AI39</f>
        <v>15</v>
      </c>
      <c r="AA68" s="113">
        <f>'Spiel 9 - Final'!AQ39</f>
        <v>12</v>
      </c>
      <c r="AB68" s="1031">
        <f>'Spiel 9 - Final'!BE39</f>
        <v>16</v>
      </c>
      <c r="AC68" s="987">
        <f>SUM(B68:AB68)</f>
        <v>308</v>
      </c>
    </row>
    <row r="69" spans="1:29" hidden="1" outlineLevel="1">
      <c r="A69" s="971" t="s">
        <v>4</v>
      </c>
      <c r="B69" s="1028">
        <f>'Gruppe A'!K103</f>
        <v>2</v>
      </c>
      <c r="C69" s="1079">
        <f>'Gruppe A'!BC15</f>
        <v>2</v>
      </c>
      <c r="D69" s="1028">
        <f>'Gruppe A'!BQ15</f>
        <v>2</v>
      </c>
      <c r="E69" s="1031">
        <f>'Gruppe A'!M125</f>
        <v>2</v>
      </c>
      <c r="F69" s="1079">
        <f>'Gruppe A'!L36</f>
        <v>1</v>
      </c>
      <c r="G69" s="1030">
        <f>'Gruppe A'!P15</f>
        <v>2</v>
      </c>
      <c r="H69" s="1028">
        <f>'Gruppe A'!CD15</f>
        <v>2</v>
      </c>
      <c r="I69" s="1029">
        <f>'Gruppe A'!M149</f>
        <v>2</v>
      </c>
      <c r="J69" s="1027">
        <f>'Gruppe A'!L80</f>
        <v>2</v>
      </c>
      <c r="K69" s="113">
        <f>'Gruppe A'!AS15</f>
        <v>2</v>
      </c>
      <c r="L69" s="1028">
        <f>'Gruppe A'!AF15</f>
        <v>1</v>
      </c>
      <c r="M69" s="1031">
        <f>'Gruppe A'!K61</f>
        <v>2</v>
      </c>
      <c r="N69" s="113">
        <f>'Spiel 7 - Viertelfinal'!C70</f>
        <v>2</v>
      </c>
      <c r="O69" s="113">
        <f>'Spiel 7 - Viertelfinal'!V70</f>
        <v>3</v>
      </c>
      <c r="P69" s="113">
        <f>'Spiel 7 - Viertelfinal'!AC70</f>
        <v>2</v>
      </c>
      <c r="Q69" s="434"/>
      <c r="R69" s="434"/>
      <c r="S69" s="1024">
        <f>'Spiel 8 - Halbfinal'!C39</f>
        <v>2</v>
      </c>
      <c r="T69" s="434">
        <f>'Spiel 8 - Halbfinal'!V39</f>
        <v>2</v>
      </c>
      <c r="U69" s="434">
        <f>'Spiel 8 - Halbfinal'!AD39</f>
        <v>2</v>
      </c>
      <c r="V69" s="434">
        <f>'Spiel 8 - Halbfinal'!AV39</f>
        <v>2</v>
      </c>
      <c r="W69" s="1025">
        <f>'Spiel 8 - Halbfinal'!BB39</f>
        <v>2</v>
      </c>
      <c r="X69" s="434">
        <f>'Spiel 9 - Final'!L40</f>
        <v>1</v>
      </c>
      <c r="Y69" s="434">
        <f>'Spiel 9 - Final'!P40</f>
        <v>2</v>
      </c>
      <c r="Z69" s="434">
        <f>'Spiel 9 - Final'!AI40</f>
        <v>2</v>
      </c>
      <c r="AA69" s="434">
        <f>'Spiel 9 - Final'!AQ40</f>
        <v>2</v>
      </c>
      <c r="AB69" s="1025">
        <f>'Spiel 9 - Final'!BE40</f>
        <v>2</v>
      </c>
      <c r="AC69" s="985">
        <f>SUM(B69:AB69)</f>
        <v>48</v>
      </c>
    </row>
    <row r="70" spans="1:29" hidden="1" outlineLevel="1">
      <c r="A70" s="971" t="s">
        <v>6</v>
      </c>
      <c r="B70" s="972">
        <f>'Gruppe A'!K104</f>
        <v>0</v>
      </c>
      <c r="C70" s="973">
        <f>'Gruppe A'!BC16</f>
        <v>0</v>
      </c>
      <c r="D70" s="972">
        <f>'Gruppe A'!BQ16</f>
        <v>0</v>
      </c>
      <c r="E70" s="978">
        <f>'Gruppe A'!M126</f>
        <v>0</v>
      </c>
      <c r="F70" s="972">
        <f>'Gruppe A'!L37</f>
        <v>0</v>
      </c>
      <c r="G70" s="978">
        <f>'Gruppe A'!P16</f>
        <v>0</v>
      </c>
      <c r="H70" s="972">
        <f>'Gruppe A'!CD16</f>
        <v>0</v>
      </c>
      <c r="I70" s="1029">
        <f>'Gruppe A'!M150</f>
        <v>1</v>
      </c>
      <c r="J70" s="972">
        <f>'Gruppe A'!L81</f>
        <v>0</v>
      </c>
      <c r="K70" s="973">
        <f>'Gruppe A'!AS16</f>
        <v>0</v>
      </c>
      <c r="L70" s="972">
        <f>'Gruppe A'!AF16</f>
        <v>0</v>
      </c>
      <c r="M70" s="978">
        <f>'Gruppe A'!K62</f>
        <v>0</v>
      </c>
      <c r="N70" s="973">
        <f>'Spiel 7 - Viertelfinal'!C71</f>
        <v>0</v>
      </c>
      <c r="O70" s="113">
        <f>'Spiel 7 - Viertelfinal'!V71</f>
        <v>1</v>
      </c>
      <c r="P70" s="113">
        <f>'Spiel 7 - Viertelfinal'!AC71</f>
        <v>1</v>
      </c>
      <c r="Q70" s="434"/>
      <c r="R70" s="434"/>
      <c r="S70" s="972">
        <f>'Spiel 8 - Halbfinal'!C40</f>
        <v>0</v>
      </c>
      <c r="T70" s="973">
        <f>'Spiel 8 - Halbfinal'!V40</f>
        <v>0</v>
      </c>
      <c r="U70" s="973">
        <f>'Spiel 8 - Halbfinal'!AD40</f>
        <v>0</v>
      </c>
      <c r="V70" s="434">
        <f>'Spiel 8 - Halbfinal'!AV40</f>
        <v>2</v>
      </c>
      <c r="W70" s="978">
        <f>'Spiel 8 - Halbfinal'!BB40</f>
        <v>0</v>
      </c>
      <c r="X70" s="973">
        <f>'Spiel 9 - Final'!L41</f>
        <v>0</v>
      </c>
      <c r="Y70" s="973">
        <f>'Spiel 9 - Final'!P41</f>
        <v>0</v>
      </c>
      <c r="Z70" s="973">
        <f>'Spiel 9 - Final'!AI41</f>
        <v>0</v>
      </c>
      <c r="AA70" s="973">
        <f>'Spiel 9 - Final'!AQ41</f>
        <v>0</v>
      </c>
      <c r="AB70" s="978">
        <f>'Spiel 9 - Final'!BE41</f>
        <v>0</v>
      </c>
      <c r="AC70" s="1036">
        <f>SUM(B70:AB70)</f>
        <v>5</v>
      </c>
    </row>
    <row r="71" spans="1:29" hidden="1" outlineLevel="1">
      <c r="A71" s="971" t="s">
        <v>12</v>
      </c>
      <c r="B71" s="1043">
        <f>'Gruppe A'!K105</f>
        <v>0</v>
      </c>
      <c r="C71" s="989">
        <f>'Gruppe A'!BC17</f>
        <v>0</v>
      </c>
      <c r="D71" s="1043">
        <f>'Gruppe A'!BQ17</f>
        <v>0</v>
      </c>
      <c r="E71" s="1042">
        <f>'Gruppe A'!M127</f>
        <v>0</v>
      </c>
      <c r="F71" s="1043">
        <f>'Gruppe A'!L38</f>
        <v>0</v>
      </c>
      <c r="G71" s="1042">
        <f>'Gruppe A'!P17</f>
        <v>0</v>
      </c>
      <c r="H71" s="1043">
        <f>'Gruppe A'!CD17</f>
        <v>0</v>
      </c>
      <c r="I71" s="1085">
        <f>'Gruppe A'!M151</f>
        <v>0.5</v>
      </c>
      <c r="J71" s="1043">
        <f>'Gruppe A'!L82</f>
        <v>0</v>
      </c>
      <c r="K71" s="989">
        <f>'Gruppe A'!AS17</f>
        <v>0</v>
      </c>
      <c r="L71" s="1043">
        <f>'Gruppe A'!AF17</f>
        <v>0</v>
      </c>
      <c r="M71" s="1042">
        <f>'Gruppe A'!K63</f>
        <v>0</v>
      </c>
      <c r="N71" s="989">
        <f>'Spiel 7 - Viertelfinal'!C72</f>
        <v>0</v>
      </c>
      <c r="O71" s="1084">
        <f>'Spiel 7 - Viertelfinal'!V72</f>
        <v>0.33333333333333331</v>
      </c>
      <c r="P71" s="1084">
        <f>'Spiel 7 - Viertelfinal'!AC72</f>
        <v>0.5</v>
      </c>
      <c r="Q71" s="434"/>
      <c r="R71" s="434"/>
      <c r="S71" s="1125">
        <f>'Spiel 8 - Halbfinal'!C41</f>
        <v>0</v>
      </c>
      <c r="T71" s="1126">
        <f>'Spiel 8 - Halbfinal'!V41</f>
        <v>0</v>
      </c>
      <c r="U71" s="1126">
        <f>'Spiel 8 - Halbfinal'!AD41</f>
        <v>0</v>
      </c>
      <c r="V71" s="1044">
        <f>'Spiel 8 - Halbfinal'!AV41</f>
        <v>1</v>
      </c>
      <c r="W71" s="1127">
        <f>'Spiel 8 - Halbfinal'!BB41</f>
        <v>0</v>
      </c>
      <c r="X71" s="1126">
        <f>'Spiel 9 - Final'!L42</f>
        <v>0</v>
      </c>
      <c r="Y71" s="1126">
        <f>'Spiel 9 - Final'!P42</f>
        <v>0</v>
      </c>
      <c r="Z71" s="1126">
        <f>'Spiel 9 - Final'!AI42</f>
        <v>0</v>
      </c>
      <c r="AA71" s="1126">
        <f>'Spiel 9 - Final'!AQ42</f>
        <v>0</v>
      </c>
      <c r="AB71" s="1042">
        <f>'Spiel 9 - Final'!BE42</f>
        <v>0</v>
      </c>
      <c r="AC71" s="996">
        <f>AC70/AC69</f>
        <v>0.10416666666666667</v>
      </c>
    </row>
    <row r="72" spans="1:29" hidden="1" outlineLevel="1">
      <c r="A72" s="971" t="s">
        <v>5</v>
      </c>
      <c r="B72" s="1045">
        <f>'Gruppe A'!K106</f>
        <v>10.5</v>
      </c>
      <c r="C72" s="1088">
        <f>'Gruppe A'!BC18</f>
        <v>8</v>
      </c>
      <c r="D72" s="1047">
        <f>'Gruppe A'!BQ18</f>
        <v>7</v>
      </c>
      <c r="E72" s="1050">
        <f>'Gruppe A'!M128</f>
        <v>2</v>
      </c>
      <c r="F72" s="1124">
        <f>'Gruppe A'!L39</f>
        <v>6</v>
      </c>
      <c r="G72" s="1049">
        <f>'Gruppe A'!P18</f>
        <v>7.5</v>
      </c>
      <c r="H72" s="1047">
        <f>'Gruppe A'!CD18</f>
        <v>8.5</v>
      </c>
      <c r="I72" s="1048">
        <f>'Gruppe A'!M152</f>
        <v>1</v>
      </c>
      <c r="J72" s="1045">
        <f>'Gruppe A'!L83</f>
        <v>6.5</v>
      </c>
      <c r="K72" s="1046">
        <f>'Gruppe A'!AS18</f>
        <v>6</v>
      </c>
      <c r="L72" s="1047">
        <f>'Gruppe A'!AF18</f>
        <v>6</v>
      </c>
      <c r="M72" s="1050">
        <f>'Gruppe A'!K64</f>
        <v>6.5</v>
      </c>
      <c r="N72" s="1046">
        <f>'Spiel 7 - Viertelfinal'!C73</f>
        <v>6</v>
      </c>
      <c r="O72" s="1046">
        <f>'Spiel 7 - Viertelfinal'!V73</f>
        <v>5.666666666666667</v>
      </c>
      <c r="P72" s="1046">
        <f>'Spiel 7 - Viertelfinal'!AC73</f>
        <v>3</v>
      </c>
      <c r="Q72" s="1046"/>
      <c r="R72" s="1046"/>
      <c r="S72" s="1047">
        <f>'Spiel 8 - Halbfinal'!C42</f>
        <v>7.5</v>
      </c>
      <c r="T72" s="1046">
        <f>'Spiel 8 - Halbfinal'!V42</f>
        <v>7.5</v>
      </c>
      <c r="U72" s="1046">
        <f>'Spiel 8 - Halbfinal'!AD42</f>
        <v>6</v>
      </c>
      <c r="V72" s="1046">
        <f>'Spiel 8 - Halbfinal'!AV42</f>
        <v>0</v>
      </c>
      <c r="W72" s="1048">
        <f>'Spiel 8 - Halbfinal'!BB42</f>
        <v>9</v>
      </c>
      <c r="X72" s="1046">
        <f>'Spiel 9 - Final'!L43</f>
        <v>12</v>
      </c>
      <c r="Y72" s="1046">
        <f>'Spiel 9 - Final'!P43</f>
        <v>9.5</v>
      </c>
      <c r="Z72" s="1046">
        <f>'Spiel 9 - Final'!AI43</f>
        <v>7.5</v>
      </c>
      <c r="AA72" s="1046">
        <f>'Spiel 9 - Final'!AQ43</f>
        <v>6</v>
      </c>
      <c r="AB72" s="1049">
        <f>'Spiel 9 - Final'!BE43</f>
        <v>8</v>
      </c>
      <c r="AC72" s="1064">
        <f>AC68/AC69</f>
        <v>6.416666666666667</v>
      </c>
    </row>
    <row r="73" spans="1:29" hidden="1" outlineLevel="1">
      <c r="A73" s="1003" t="s">
        <v>8</v>
      </c>
      <c r="B73" s="1053">
        <f>'Gruppe A'!K107</f>
        <v>10.5</v>
      </c>
      <c r="C73" s="1091">
        <f>'Gruppe A'!BC19</f>
        <v>8</v>
      </c>
      <c r="D73" s="1055">
        <f>'Gruppe A'!BQ19</f>
        <v>7</v>
      </c>
      <c r="E73" s="1058">
        <f>'Gruppe A'!M129</f>
        <v>2</v>
      </c>
      <c r="F73" s="1091">
        <f>'Gruppe A'!L40</f>
        <v>6</v>
      </c>
      <c r="G73" s="1057">
        <f>'Gruppe A'!P19</f>
        <v>7.5</v>
      </c>
      <c r="H73" s="1055">
        <f>'Gruppe A'!CD19</f>
        <v>8.5</v>
      </c>
      <c r="I73" s="1056">
        <f>'Gruppe A'!M153</f>
        <v>2</v>
      </c>
      <c r="J73" s="1053">
        <f>'Gruppe A'!L84</f>
        <v>6.5</v>
      </c>
      <c r="K73" s="1054">
        <f>'Gruppe A'!AS19</f>
        <v>6</v>
      </c>
      <c r="L73" s="1047">
        <f>'Gruppe A'!AF19</f>
        <v>6</v>
      </c>
      <c r="M73" s="1050">
        <f>'Gruppe A'!K65</f>
        <v>6.5</v>
      </c>
      <c r="N73" s="1054">
        <f>'Spiel 7 - Viertelfinal'!C74</f>
        <v>6</v>
      </c>
      <c r="O73" s="1054">
        <f>'Spiel 7 - Viertelfinal'!V74</f>
        <v>8.5</v>
      </c>
      <c r="P73" s="1054">
        <f>'Spiel 7 - Viertelfinal'!AC74</f>
        <v>6</v>
      </c>
      <c r="Q73" s="1054"/>
      <c r="R73" s="1054"/>
      <c r="S73" s="1055">
        <f>'Spiel 8 - Halbfinal'!C43</f>
        <v>7.5</v>
      </c>
      <c r="T73" s="1054">
        <f>'Spiel 8 - Halbfinal'!V43</f>
        <v>7.5</v>
      </c>
      <c r="U73" s="1054">
        <f>'Spiel 8 - Halbfinal'!AD43</f>
        <v>6</v>
      </c>
      <c r="V73" s="1054">
        <v>0</v>
      </c>
      <c r="W73" s="1056">
        <f>'Spiel 8 - Halbfinal'!BB43</f>
        <v>9</v>
      </c>
      <c r="X73" s="1054">
        <f>'Spiel 9 - Final'!L44</f>
        <v>12</v>
      </c>
      <c r="Y73" s="1054">
        <f>'Spiel 9 - Final'!P44</f>
        <v>9.5</v>
      </c>
      <c r="Z73" s="1054">
        <f>'Spiel 9 - Final'!AI44</f>
        <v>7.5</v>
      </c>
      <c r="AA73" s="1054">
        <f>'Spiel 9 - Final'!AQ44</f>
        <v>6</v>
      </c>
      <c r="AB73" s="1058">
        <f>'Spiel 9 - Final'!BE44</f>
        <v>8</v>
      </c>
      <c r="AC73" s="1007">
        <f>AC68/(AC69-AC70)</f>
        <v>7.1627906976744189</v>
      </c>
    </row>
    <row r="74" spans="1:29" ht="3" hidden="1" customHeight="1" outlineLevel="1">
      <c r="B74" s="1024"/>
      <c r="C74" s="1025"/>
      <c r="D74" s="1113"/>
      <c r="E74" s="1114"/>
      <c r="F74" s="1024"/>
      <c r="G74" s="1025"/>
      <c r="H74" s="1024"/>
      <c r="I74" s="1025"/>
      <c r="J74" s="1024"/>
      <c r="K74" s="1025"/>
      <c r="L74" s="1059"/>
      <c r="M74" s="1061"/>
      <c r="N74" s="1060"/>
      <c r="O74" s="1060"/>
      <c r="P74" s="1060"/>
      <c r="Q74" s="1060"/>
      <c r="R74" s="1060"/>
      <c r="S74" s="1060"/>
      <c r="T74" s="1060"/>
      <c r="U74" s="1060"/>
      <c r="V74" s="1060"/>
      <c r="W74" s="1060"/>
      <c r="X74" s="1060"/>
      <c r="Y74" s="1060"/>
      <c r="Z74" s="1060"/>
      <c r="AA74" s="1060"/>
      <c r="AB74" s="1061"/>
      <c r="AC74" s="1062"/>
    </row>
    <row r="75" spans="1:29" hidden="1" outlineLevel="1">
      <c r="A75" s="1116" t="s">
        <v>118</v>
      </c>
      <c r="B75" s="1117"/>
      <c r="C75" s="1118"/>
      <c r="D75" s="1117"/>
      <c r="E75" s="1119"/>
      <c r="F75" s="1117"/>
      <c r="G75" s="1119"/>
      <c r="H75" s="1117"/>
      <c r="I75" s="1119"/>
      <c r="J75" s="1117"/>
      <c r="K75" s="1118"/>
      <c r="L75" s="1120"/>
      <c r="M75" s="1121"/>
      <c r="N75" s="1122"/>
      <c r="O75" s="1122"/>
      <c r="P75" s="1122"/>
      <c r="Q75" s="1122"/>
      <c r="R75" s="1122"/>
      <c r="S75" s="1117"/>
      <c r="T75" s="1118"/>
      <c r="U75" s="1118"/>
      <c r="V75" s="1118"/>
      <c r="W75" s="1119"/>
      <c r="X75" s="1122"/>
      <c r="Y75" s="1122"/>
      <c r="Z75" s="1122"/>
      <c r="AA75" s="1122"/>
      <c r="AB75" s="1121"/>
      <c r="AC75" s="1123"/>
    </row>
    <row r="76" spans="1:29" hidden="1" outlineLevel="1">
      <c r="A76" s="971" t="s">
        <v>3</v>
      </c>
      <c r="B76" s="1027">
        <f>'Gruppe A'!L102</f>
        <v>2</v>
      </c>
      <c r="C76" s="113">
        <f>'Gruppe A'!BD14</f>
        <v>9</v>
      </c>
      <c r="D76" s="1028">
        <f>'Gruppe A'!BR14</f>
        <v>10</v>
      </c>
      <c r="E76" s="1029">
        <f>'Gruppe A'!J124</f>
        <v>21</v>
      </c>
      <c r="F76" s="113">
        <f>'Gruppe A'!M35</f>
        <v>0</v>
      </c>
      <c r="G76" s="1031">
        <f>'Gruppe A'!Q14</f>
        <v>18</v>
      </c>
      <c r="H76" s="1027">
        <f>'Gruppe A'!CE14</f>
        <v>7</v>
      </c>
      <c r="I76" s="1029">
        <f>'Gruppe A'!J148</f>
        <v>20</v>
      </c>
      <c r="J76" s="1028">
        <f>'Gruppe A'!M79</f>
        <v>8</v>
      </c>
      <c r="K76" s="1079">
        <f>'Gruppe A'!AP14</f>
        <v>20</v>
      </c>
      <c r="L76" s="1027">
        <f>'Gruppe A'!AC14</f>
        <v>19</v>
      </c>
      <c r="M76" s="1031">
        <f>'Gruppe A'!L60</f>
        <v>5</v>
      </c>
      <c r="N76" s="113">
        <f>'Spiel 7 - Viertelfinal'!D69</f>
        <v>6</v>
      </c>
      <c r="O76" s="113">
        <f>'Spiel 7 - Viertelfinal'!W69</f>
        <v>7</v>
      </c>
      <c r="P76" s="113">
        <f>'Spiel 7 - Viertelfinal'!AD69</f>
        <v>13</v>
      </c>
      <c r="Q76" s="113"/>
      <c r="R76" s="113"/>
      <c r="S76" s="1028">
        <f>'Spiel 8 - Halbfinal'!D38</f>
        <v>12</v>
      </c>
      <c r="T76" s="113">
        <f>'Spiel 8 - Halbfinal'!W38</f>
        <v>20</v>
      </c>
      <c r="U76" s="113">
        <f>'Spiel 8 - Halbfinal'!AE38</f>
        <v>6</v>
      </c>
      <c r="V76" s="113">
        <f>'Spiel 8 - Halbfinal'!AW38</f>
        <v>14</v>
      </c>
      <c r="W76" s="1029">
        <f>'Spiel 8 - Halbfinal'!BC38</f>
        <v>17</v>
      </c>
      <c r="X76" s="113">
        <f>'Spiel 9 - Final'!I39</f>
        <v>17</v>
      </c>
      <c r="Y76" s="113">
        <f>'Spiel 9 - Final'!Q39</f>
        <v>14</v>
      </c>
      <c r="Z76" s="113">
        <f>'Spiel 9 - Final'!AJ39</f>
        <v>10</v>
      </c>
      <c r="AA76" s="113">
        <f>'Spiel 9 - Final'!AR39</f>
        <v>0</v>
      </c>
      <c r="AB76" s="1031">
        <f>'Spiel 9 - Final'!BB39</f>
        <v>19</v>
      </c>
      <c r="AC76" s="1036">
        <f>SUM(B76:AB76)</f>
        <v>294</v>
      </c>
    </row>
    <row r="77" spans="1:29" hidden="1" outlineLevel="1">
      <c r="A77" s="971" t="s">
        <v>4</v>
      </c>
      <c r="B77" s="1028">
        <f>'Gruppe A'!L103</f>
        <v>2</v>
      </c>
      <c r="C77" s="1079">
        <f>'Gruppe A'!BD15</f>
        <v>2</v>
      </c>
      <c r="D77" s="1028">
        <f>'Gruppe A'!BR15</f>
        <v>1</v>
      </c>
      <c r="E77" s="1031">
        <f>'Gruppe A'!J125</f>
        <v>3</v>
      </c>
      <c r="F77" s="1079">
        <f>'Gruppe A'!M36</f>
        <v>1</v>
      </c>
      <c r="G77" s="1030">
        <f>'Gruppe A'!Q15</f>
        <v>2</v>
      </c>
      <c r="H77" s="1028">
        <f>'Gruppe A'!CE15</f>
        <v>1</v>
      </c>
      <c r="I77" s="1029">
        <f>'Gruppe A'!J149</f>
        <v>3</v>
      </c>
      <c r="J77" s="1027">
        <f>'Gruppe A'!M80</f>
        <v>1</v>
      </c>
      <c r="K77" s="113">
        <f>'Gruppe A'!AP15</f>
        <v>2</v>
      </c>
      <c r="L77" s="1028">
        <f>'Gruppe A'!AC15</f>
        <v>2</v>
      </c>
      <c r="M77" s="1031">
        <f>'Gruppe A'!L61</f>
        <v>2</v>
      </c>
      <c r="N77" s="113">
        <f>'Spiel 7 - Viertelfinal'!D70</f>
        <v>2</v>
      </c>
      <c r="O77" s="113">
        <f>'Spiel 7 - Viertelfinal'!W70</f>
        <v>3</v>
      </c>
      <c r="P77" s="113">
        <f>'Spiel 7 - Viertelfinal'!AD70</f>
        <v>2</v>
      </c>
      <c r="Q77" s="113"/>
      <c r="R77" s="113"/>
      <c r="S77" s="1028">
        <f>'Spiel 8 - Halbfinal'!D39</f>
        <v>2</v>
      </c>
      <c r="T77" s="113">
        <f>'Spiel 8 - Halbfinal'!W39</f>
        <v>2</v>
      </c>
      <c r="U77" s="113">
        <f>'Spiel 8 - Halbfinal'!AE39</f>
        <v>1</v>
      </c>
      <c r="V77" s="113">
        <f>'Spiel 8 - Halbfinal'!AW39</f>
        <v>2</v>
      </c>
      <c r="W77" s="1029">
        <f>'Spiel 8 - Halbfinal'!BC39</f>
        <v>2</v>
      </c>
      <c r="X77" s="113">
        <f>'Spiel 9 - Final'!I40</f>
        <v>2</v>
      </c>
      <c r="Y77" s="113">
        <f>'Spiel 9 - Final'!Q40</f>
        <v>2</v>
      </c>
      <c r="Z77" s="113">
        <f>'Spiel 9 - Final'!AJ40</f>
        <v>2</v>
      </c>
      <c r="AA77" s="113">
        <f>'Spiel 9 - Final'!AR40</f>
        <v>1</v>
      </c>
      <c r="AB77" s="1025">
        <f>'Spiel 9 - Final'!BB40</f>
        <v>2</v>
      </c>
      <c r="AC77" s="985">
        <f>SUM(B77:AB77)</f>
        <v>47</v>
      </c>
    </row>
    <row r="78" spans="1:29" hidden="1" outlineLevel="1">
      <c r="A78" s="971" t="s">
        <v>6</v>
      </c>
      <c r="B78" s="1028">
        <f>'Gruppe A'!L104</f>
        <v>1</v>
      </c>
      <c r="C78" s="115">
        <f>'Gruppe A'!BD16</f>
        <v>1</v>
      </c>
      <c r="D78" s="972">
        <f>'Gruppe A'!BR16</f>
        <v>0</v>
      </c>
      <c r="E78" s="978">
        <f>'Gruppe A'!J126</f>
        <v>0</v>
      </c>
      <c r="F78" s="1028">
        <f>'Gruppe A'!M37</f>
        <v>1</v>
      </c>
      <c r="G78" s="978">
        <f>'Gruppe A'!Q16</f>
        <v>0</v>
      </c>
      <c r="H78" s="972">
        <f>'Gruppe A'!CE16</f>
        <v>0</v>
      </c>
      <c r="I78" s="978">
        <f>'Gruppe A'!J150</f>
        <v>0</v>
      </c>
      <c r="J78" s="972">
        <f>'Gruppe A'!M81</f>
        <v>0</v>
      </c>
      <c r="K78" s="973">
        <f>'Gruppe A'!AP16</f>
        <v>0</v>
      </c>
      <c r="L78" s="972">
        <f>'Gruppe A'!AC16</f>
        <v>0</v>
      </c>
      <c r="M78" s="978">
        <f>'Gruppe A'!L62</f>
        <v>0</v>
      </c>
      <c r="N78" s="113">
        <f>'Spiel 7 - Viertelfinal'!D71</f>
        <v>1</v>
      </c>
      <c r="O78" s="113">
        <f>'Spiel 7 - Viertelfinal'!W71</f>
        <v>1</v>
      </c>
      <c r="P78" s="973">
        <f>'Spiel 7 - Viertelfinal'!AD71</f>
        <v>0</v>
      </c>
      <c r="Q78" s="113"/>
      <c r="R78" s="113"/>
      <c r="S78" s="972">
        <f>'Spiel 8 - Halbfinal'!D40</f>
        <v>0</v>
      </c>
      <c r="T78" s="973">
        <f>'Spiel 8 - Halbfinal'!W40</f>
        <v>0</v>
      </c>
      <c r="U78" s="973">
        <f>'Spiel 8 - Halbfinal'!AE40</f>
        <v>0</v>
      </c>
      <c r="V78" s="973">
        <f>'Spiel 8 - Halbfinal'!AW40</f>
        <v>0</v>
      </c>
      <c r="W78" s="978">
        <f>'Spiel 8 - Halbfinal'!BC40</f>
        <v>0</v>
      </c>
      <c r="X78" s="973">
        <f>'Spiel 9 - Final'!I41</f>
        <v>0</v>
      </c>
      <c r="Y78" s="973">
        <f>'Spiel 9 - Final'!Q41</f>
        <v>0</v>
      </c>
      <c r="Z78" s="113">
        <f>'Spiel 9 - Final'!AJ41</f>
        <v>1</v>
      </c>
      <c r="AA78" s="113">
        <f>'Spiel 9 - Final'!AR41</f>
        <v>1</v>
      </c>
      <c r="AB78" s="978">
        <f>'Spiel 9 - Final'!BB41</f>
        <v>0</v>
      </c>
      <c r="AC78" s="987">
        <f>SUM(B78:AB78)</f>
        <v>7</v>
      </c>
    </row>
    <row r="79" spans="1:29" hidden="1" outlineLevel="1">
      <c r="A79" s="971" t="s">
        <v>12</v>
      </c>
      <c r="B79" s="1039">
        <f>'Gruppe A'!L105</f>
        <v>0.5</v>
      </c>
      <c r="C79" s="1082">
        <f>'Gruppe A'!BD17</f>
        <v>0.5</v>
      </c>
      <c r="D79" s="1043">
        <f>'Gruppe A'!BR17</f>
        <v>0</v>
      </c>
      <c r="E79" s="1042">
        <f>'Gruppe A'!J127</f>
        <v>0</v>
      </c>
      <c r="F79" s="1039">
        <f>'Gruppe A'!M38</f>
        <v>1</v>
      </c>
      <c r="G79" s="1042">
        <f>'Gruppe A'!Q17</f>
        <v>0</v>
      </c>
      <c r="H79" s="1043">
        <f>'Gruppe A'!CE17</f>
        <v>0</v>
      </c>
      <c r="I79" s="1042">
        <f>'Gruppe A'!J151</f>
        <v>0</v>
      </c>
      <c r="J79" s="1043">
        <f>'Gruppe A'!M82</f>
        <v>0</v>
      </c>
      <c r="K79" s="989">
        <f>'Gruppe A'!AP17</f>
        <v>0</v>
      </c>
      <c r="L79" s="1043">
        <f>'Gruppe A'!AC17</f>
        <v>0</v>
      </c>
      <c r="M79" s="1042">
        <f>'Gruppe A'!L63</f>
        <v>0</v>
      </c>
      <c r="N79" s="1084">
        <f>'Spiel 7 - Viertelfinal'!D72</f>
        <v>0.5</v>
      </c>
      <c r="O79" s="1084">
        <f>'Spiel 7 - Viertelfinal'!W72</f>
        <v>0.33333333333333331</v>
      </c>
      <c r="P79" s="989">
        <f>'Spiel 7 - Viertelfinal'!AD72</f>
        <v>0</v>
      </c>
      <c r="Q79" s="1084"/>
      <c r="R79" s="1084"/>
      <c r="S79" s="1043">
        <f>'Spiel 8 - Halbfinal'!D41</f>
        <v>0</v>
      </c>
      <c r="T79" s="989">
        <f>'Spiel 8 - Halbfinal'!W41</f>
        <v>0</v>
      </c>
      <c r="U79" s="989">
        <f>'Spiel 8 - Halbfinal'!AE41</f>
        <v>0</v>
      </c>
      <c r="V79" s="989">
        <f>'Spiel 8 - Halbfinal'!AW41</f>
        <v>0</v>
      </c>
      <c r="W79" s="1042">
        <f>'Spiel 8 - Halbfinal'!BC41</f>
        <v>0</v>
      </c>
      <c r="X79" s="989">
        <f>'Spiel 9 - Final'!I42</f>
        <v>0</v>
      </c>
      <c r="Y79" s="989">
        <f>'Spiel 9 - Final'!Q42</f>
        <v>0</v>
      </c>
      <c r="Z79" s="1084">
        <f>'Spiel 9 - Final'!AJ42</f>
        <v>0.5</v>
      </c>
      <c r="AA79" s="1084">
        <f>'Spiel 9 - Final'!AR42</f>
        <v>1</v>
      </c>
      <c r="AB79" s="1042">
        <f>'Spiel 9 - Final'!BB42</f>
        <v>0</v>
      </c>
      <c r="AC79" s="996">
        <f>AC78/AC77</f>
        <v>0.14893617021276595</v>
      </c>
    </row>
    <row r="80" spans="1:29" hidden="1" outlineLevel="1">
      <c r="A80" s="971" t="s">
        <v>5</v>
      </c>
      <c r="B80" s="1045">
        <f>'Gruppe A'!L106</f>
        <v>1</v>
      </c>
      <c r="C80" s="1088">
        <f>'Gruppe A'!BD18</f>
        <v>4.5</v>
      </c>
      <c r="D80" s="1047">
        <f>'Gruppe A'!BR18</f>
        <v>10</v>
      </c>
      <c r="E80" s="1050">
        <f>'Gruppe A'!J128</f>
        <v>7</v>
      </c>
      <c r="F80" s="1124">
        <f>'Gruppe A'!M39</f>
        <v>0</v>
      </c>
      <c r="G80" s="1049">
        <f>'Gruppe A'!Q18</f>
        <v>9</v>
      </c>
      <c r="H80" s="1047">
        <f>'Gruppe A'!CE18</f>
        <v>7</v>
      </c>
      <c r="I80" s="1048">
        <f>'Gruppe A'!J152</f>
        <v>6.666666666666667</v>
      </c>
      <c r="J80" s="1045">
        <f>'Gruppe A'!M83</f>
        <v>8</v>
      </c>
      <c r="K80" s="1046">
        <f>'Gruppe A'!AP18</f>
        <v>10</v>
      </c>
      <c r="L80" s="1047">
        <f>'Gruppe A'!AC18</f>
        <v>9.5</v>
      </c>
      <c r="M80" s="1050">
        <f>'Gruppe A'!L64</f>
        <v>2.5</v>
      </c>
      <c r="N80" s="1046">
        <f>'Spiel 7 - Viertelfinal'!D73</f>
        <v>3</v>
      </c>
      <c r="O80" s="1046">
        <f>'Spiel 7 - Viertelfinal'!W73</f>
        <v>2.3333333333333335</v>
      </c>
      <c r="P80" s="1046">
        <f>'Spiel 7 - Viertelfinal'!AD73</f>
        <v>6.5</v>
      </c>
      <c r="Q80" s="1046"/>
      <c r="R80" s="1046"/>
      <c r="S80" s="1047">
        <f>'Spiel 8 - Halbfinal'!D42</f>
        <v>6</v>
      </c>
      <c r="T80" s="1046">
        <f>'Spiel 8 - Halbfinal'!W42</f>
        <v>10</v>
      </c>
      <c r="U80" s="1046">
        <f>'Spiel 8 - Halbfinal'!AE42</f>
        <v>6</v>
      </c>
      <c r="V80" s="1046">
        <f>'Spiel 8 - Halbfinal'!AW42</f>
        <v>7</v>
      </c>
      <c r="W80" s="1048">
        <f>'Spiel 8 - Halbfinal'!BC42</f>
        <v>8.5</v>
      </c>
      <c r="X80" s="1046">
        <f>'Spiel 9 - Final'!I43</f>
        <v>8.5</v>
      </c>
      <c r="Y80" s="1046">
        <f>'Spiel 9 - Final'!Q43</f>
        <v>7</v>
      </c>
      <c r="Z80" s="1046">
        <f>'Spiel 9 - Final'!AJ43</f>
        <v>5</v>
      </c>
      <c r="AA80" s="1046">
        <f>'Spiel 9 - Final'!AR43</f>
        <v>0</v>
      </c>
      <c r="AB80" s="1049">
        <f>'Spiel 9 - Final'!BB43</f>
        <v>9.5</v>
      </c>
      <c r="AC80" s="1064">
        <f>AC76/AC77</f>
        <v>6.2553191489361701</v>
      </c>
    </row>
    <row r="81" spans="1:29" hidden="1" outlineLevel="1">
      <c r="A81" s="1003" t="s">
        <v>8</v>
      </c>
      <c r="B81" s="1053">
        <f>'Gruppe A'!L107</f>
        <v>2</v>
      </c>
      <c r="C81" s="1091">
        <f>'Gruppe A'!BD19</f>
        <v>9</v>
      </c>
      <c r="D81" s="1055">
        <f>'Gruppe A'!BR19</f>
        <v>10</v>
      </c>
      <c r="E81" s="1058">
        <f>'Gruppe A'!J129</f>
        <v>7</v>
      </c>
      <c r="F81" s="1091">
        <v>0</v>
      </c>
      <c r="G81" s="1057">
        <f>'Gruppe A'!Q19</f>
        <v>9</v>
      </c>
      <c r="H81" s="1055">
        <f>'Gruppe A'!CE19</f>
        <v>7</v>
      </c>
      <c r="I81" s="1056">
        <f>'Gruppe A'!J153</f>
        <v>6.666666666666667</v>
      </c>
      <c r="J81" s="1053">
        <f>'Gruppe A'!M84</f>
        <v>8</v>
      </c>
      <c r="K81" s="1054">
        <f>'Gruppe A'!AP19</f>
        <v>10</v>
      </c>
      <c r="L81" s="1047">
        <f>'Gruppe A'!AC19</f>
        <v>9.5</v>
      </c>
      <c r="M81" s="1050">
        <f>'Gruppe A'!L65</f>
        <v>2.5</v>
      </c>
      <c r="N81" s="1054">
        <f>'Spiel 7 - Viertelfinal'!D74</f>
        <v>6</v>
      </c>
      <c r="O81" s="1054">
        <f>'Spiel 7 - Viertelfinal'!W74</f>
        <v>3.5</v>
      </c>
      <c r="P81" s="1054">
        <f>'Spiel 7 - Viertelfinal'!AD74</f>
        <v>6.5</v>
      </c>
      <c r="Q81" s="1054"/>
      <c r="R81" s="1054"/>
      <c r="S81" s="1055">
        <f>'Spiel 8 - Halbfinal'!D43</f>
        <v>6</v>
      </c>
      <c r="T81" s="1054">
        <f>'Spiel 8 - Halbfinal'!W43</f>
        <v>10</v>
      </c>
      <c r="U81" s="1054">
        <f>'Spiel 8 - Halbfinal'!AE43</f>
        <v>6</v>
      </c>
      <c r="V81" s="1054">
        <f>'Spiel 8 - Halbfinal'!AW43</f>
        <v>7</v>
      </c>
      <c r="W81" s="1056">
        <f>'Spiel 8 - Halbfinal'!BC43</f>
        <v>8.5</v>
      </c>
      <c r="X81" s="1054">
        <f>'Spiel 9 - Final'!I44</f>
        <v>8.5</v>
      </c>
      <c r="Y81" s="1054">
        <f>'Spiel 9 - Final'!Q44</f>
        <v>7</v>
      </c>
      <c r="Z81" s="1054">
        <f>'Spiel 9 - Final'!AJ44</f>
        <v>10</v>
      </c>
      <c r="AA81" s="1054">
        <v>0</v>
      </c>
      <c r="AB81" s="1058">
        <f>'Spiel 9 - Final'!BB44</f>
        <v>9.5</v>
      </c>
      <c r="AC81" s="1007">
        <f>AC76/(AC77-AC78)</f>
        <v>7.35</v>
      </c>
    </row>
    <row r="82" spans="1:29" ht="3" hidden="1" customHeight="1" outlineLevel="1">
      <c r="B82" s="1024"/>
      <c r="C82" s="1025"/>
      <c r="D82" s="1113"/>
      <c r="E82" s="1114"/>
      <c r="F82" s="1024"/>
      <c r="G82" s="1025"/>
      <c r="H82" s="1024"/>
      <c r="I82" s="1025"/>
      <c r="J82" s="1024"/>
      <c r="K82" s="1025"/>
      <c r="L82" s="1059"/>
      <c r="M82" s="1061"/>
      <c r="N82" s="1060"/>
      <c r="O82" s="1060"/>
      <c r="P82" s="1060"/>
      <c r="Q82" s="1060"/>
      <c r="R82" s="1060"/>
      <c r="S82" s="1060"/>
      <c r="T82" s="1060"/>
      <c r="U82" s="1060"/>
      <c r="V82" s="1060"/>
      <c r="W82" s="1060"/>
      <c r="X82" s="1060"/>
      <c r="Y82" s="1060"/>
      <c r="Z82" s="1060"/>
      <c r="AA82" s="1060"/>
      <c r="AB82" s="1061"/>
      <c r="AC82" s="1062"/>
    </row>
    <row r="83" spans="1:29" hidden="1" outlineLevel="1">
      <c r="A83" s="1116" t="s">
        <v>119</v>
      </c>
      <c r="B83" s="1117"/>
      <c r="C83" s="1118"/>
      <c r="D83" s="1117"/>
      <c r="E83" s="1119"/>
      <c r="F83" s="1117"/>
      <c r="G83" s="1119"/>
      <c r="H83" s="1117"/>
      <c r="I83" s="1119"/>
      <c r="J83" s="1117"/>
      <c r="K83" s="1118"/>
      <c r="L83" s="1120"/>
      <c r="M83" s="1121"/>
      <c r="N83" s="1122"/>
      <c r="O83" s="1122"/>
      <c r="P83" s="1122"/>
      <c r="Q83" s="1122"/>
      <c r="R83" s="1122"/>
      <c r="S83" s="1117"/>
      <c r="T83" s="1118"/>
      <c r="U83" s="1118"/>
      <c r="V83" s="1118"/>
      <c r="W83" s="1119"/>
      <c r="X83" s="1122"/>
      <c r="Y83" s="1122"/>
      <c r="Z83" s="1122"/>
      <c r="AA83" s="1122"/>
      <c r="AB83" s="1121"/>
      <c r="AC83" s="1123"/>
    </row>
    <row r="84" spans="1:29" hidden="1" outlineLevel="1">
      <c r="A84" s="971" t="s">
        <v>3</v>
      </c>
      <c r="B84" s="1027">
        <f>'Gruppe A'!M102</f>
        <v>18</v>
      </c>
      <c r="C84" s="113">
        <f>'Gruppe A'!BE14</f>
        <v>15</v>
      </c>
      <c r="D84" s="1028">
        <f>'Gruppe A'!BS14</f>
        <v>10</v>
      </c>
      <c r="E84" s="1029">
        <f>'Gruppe A'!K124</f>
        <v>11</v>
      </c>
      <c r="F84" s="113">
        <f>'Gruppe A'!J35</f>
        <v>5</v>
      </c>
      <c r="G84" s="1031">
        <f>'Gruppe A'!R14</f>
        <v>6</v>
      </c>
      <c r="H84" s="1027">
        <f>'Gruppe A'!CF14</f>
        <v>7</v>
      </c>
      <c r="I84" s="1029">
        <f>'Gruppe A'!K148</f>
        <v>18</v>
      </c>
      <c r="J84" s="1028">
        <f>'Gruppe A'!J79</f>
        <v>15</v>
      </c>
      <c r="K84" s="1079">
        <f>'Gruppe A'!AQ14</f>
        <v>10</v>
      </c>
      <c r="L84" s="1027">
        <f>'Gruppe A'!AD14</f>
        <v>19</v>
      </c>
      <c r="M84" s="1031">
        <f>'Gruppe A'!M60</f>
        <v>14</v>
      </c>
      <c r="N84" s="113">
        <f>'Spiel 7 - Viertelfinal'!E69</f>
        <v>7</v>
      </c>
      <c r="O84" s="113">
        <f>'Spiel 7 - Viertelfinal'!X69</f>
        <v>24</v>
      </c>
      <c r="P84" s="113">
        <f>'Spiel 7 - Viertelfinal'!AE69</f>
        <v>11</v>
      </c>
      <c r="Q84" s="1128"/>
      <c r="R84" s="1128"/>
      <c r="S84" s="1028">
        <f>'Spiel 8 - Halbfinal'!E38</f>
        <v>0</v>
      </c>
      <c r="T84" s="113">
        <f>'Spiel 8 - Halbfinal'!X38</f>
        <v>10</v>
      </c>
      <c r="U84" s="113">
        <f>'Spiel 8 - Halbfinal'!AB38</f>
        <v>17</v>
      </c>
      <c r="V84" s="113">
        <f>'Spiel 8 - Halbfinal'!AX38</f>
        <v>6</v>
      </c>
      <c r="W84" s="1029">
        <f>'Spiel 8 - Halbfinal'!BD38</f>
        <v>6</v>
      </c>
      <c r="X84" s="113">
        <f>'Spiel 9 - Final'!J39</f>
        <v>18</v>
      </c>
      <c r="Y84" s="113">
        <f>'Spiel 9 - Final'!R39</f>
        <v>2</v>
      </c>
      <c r="Z84" s="113">
        <f>'Spiel 9 - Final'!AK39</f>
        <v>2</v>
      </c>
      <c r="AA84" s="113">
        <f>'Spiel 9 - Final'!AO39</f>
        <v>19</v>
      </c>
      <c r="AB84" s="1031">
        <f>'Spiel 9 - Final'!BC39</f>
        <v>9</v>
      </c>
      <c r="AC84" s="987">
        <f>SUM(B84:AB84)</f>
        <v>279</v>
      </c>
    </row>
    <row r="85" spans="1:29" hidden="1" outlineLevel="1">
      <c r="A85" s="971" t="s">
        <v>4</v>
      </c>
      <c r="B85" s="1028">
        <f>'Gruppe A'!M103</f>
        <v>2</v>
      </c>
      <c r="C85" s="1079">
        <f>'Gruppe A'!BE15</f>
        <v>2</v>
      </c>
      <c r="D85" s="1028">
        <f>'Gruppe A'!BS15</f>
        <v>1</v>
      </c>
      <c r="E85" s="1031">
        <f>'Gruppe A'!K125</f>
        <v>2</v>
      </c>
      <c r="F85" s="1079">
        <f>'Gruppe A'!J36</f>
        <v>2</v>
      </c>
      <c r="G85" s="1030">
        <f>'Gruppe A'!R15</f>
        <v>2</v>
      </c>
      <c r="H85" s="1028">
        <f>'Gruppe A'!CF15</f>
        <v>1</v>
      </c>
      <c r="I85" s="1029">
        <f>'Gruppe A'!K149</f>
        <v>2</v>
      </c>
      <c r="J85" s="1027">
        <f>'Gruppe A'!J80</f>
        <v>2</v>
      </c>
      <c r="K85" s="113">
        <f>'Gruppe A'!AQ15</f>
        <v>2</v>
      </c>
      <c r="L85" s="1028">
        <f>'Gruppe A'!AD15</f>
        <v>2</v>
      </c>
      <c r="M85" s="1031">
        <f>'Gruppe A'!M61</f>
        <v>2</v>
      </c>
      <c r="N85" s="113">
        <f>'Spiel 7 - Viertelfinal'!E70</f>
        <v>2</v>
      </c>
      <c r="O85" s="113">
        <f>'Spiel 7 - Viertelfinal'!X70</f>
        <v>3</v>
      </c>
      <c r="P85" s="113">
        <f>'Spiel 7 - Viertelfinal'!AE70</f>
        <v>2</v>
      </c>
      <c r="Q85" s="434"/>
      <c r="R85" s="434"/>
      <c r="S85" s="1024">
        <f>'Spiel 8 - Halbfinal'!E39</f>
        <v>2</v>
      </c>
      <c r="T85" s="434">
        <f>'Spiel 8 - Halbfinal'!X39</f>
        <v>1</v>
      </c>
      <c r="U85" s="434">
        <f>'Spiel 8 - Halbfinal'!AB39</f>
        <v>2</v>
      </c>
      <c r="V85" s="434">
        <f>'Spiel 8 - Halbfinal'!AX39</f>
        <v>2</v>
      </c>
      <c r="W85" s="1025">
        <f>'Spiel 8 - Halbfinal'!BD39</f>
        <v>2</v>
      </c>
      <c r="X85" s="434">
        <f>'Spiel 9 - Final'!J40</f>
        <v>2</v>
      </c>
      <c r="Y85" s="434">
        <f>'Spiel 9 - Final'!R40</f>
        <v>2</v>
      </c>
      <c r="Z85" s="434">
        <f>'Spiel 9 - Final'!AK40</f>
        <v>1</v>
      </c>
      <c r="AA85" s="434">
        <f>'Spiel 9 - Final'!AO40</f>
        <v>2</v>
      </c>
      <c r="AB85" s="1025">
        <f>'Spiel 9 - Final'!BC40</f>
        <v>2</v>
      </c>
      <c r="AC85" s="985">
        <f>SUM(B85:AB85)</f>
        <v>47</v>
      </c>
    </row>
    <row r="86" spans="1:29" hidden="1" outlineLevel="1">
      <c r="A86" s="971" t="s">
        <v>6</v>
      </c>
      <c r="B86" s="972">
        <f>'Gruppe A'!M104</f>
        <v>0</v>
      </c>
      <c r="C86" s="973">
        <f>'Gruppe A'!BE16</f>
        <v>0</v>
      </c>
      <c r="D86" s="972">
        <f>'Gruppe A'!BS16</f>
        <v>0</v>
      </c>
      <c r="E86" s="978">
        <f>'Gruppe A'!K126</f>
        <v>0</v>
      </c>
      <c r="F86" s="972">
        <f>'Gruppe A'!J37</f>
        <v>0</v>
      </c>
      <c r="G86" s="978">
        <f>'Gruppe A'!R16</f>
        <v>0</v>
      </c>
      <c r="H86" s="972">
        <f>'Gruppe A'!CF16</f>
        <v>0</v>
      </c>
      <c r="I86" s="978">
        <f>'Gruppe A'!K150</f>
        <v>0</v>
      </c>
      <c r="J86" s="972">
        <f>'Gruppe A'!J81</f>
        <v>0</v>
      </c>
      <c r="K86" s="113">
        <f>'Gruppe A'!AQ16</f>
        <v>1</v>
      </c>
      <c r="L86" s="972">
        <f>'Gruppe A'!AD16</f>
        <v>0</v>
      </c>
      <c r="M86" s="978">
        <f>'Gruppe A'!M62</f>
        <v>0</v>
      </c>
      <c r="N86" s="973">
        <f>'Spiel 7 - Viertelfinal'!E71</f>
        <v>0</v>
      </c>
      <c r="O86" s="973">
        <f>'Spiel 7 - Viertelfinal'!X71</f>
        <v>0</v>
      </c>
      <c r="P86" s="973">
        <f>'Spiel 7 - Viertelfinal'!AE71</f>
        <v>0</v>
      </c>
      <c r="Q86" s="434"/>
      <c r="R86" s="434"/>
      <c r="S86" s="1024">
        <f>'Spiel 8 - Halbfinal'!E40</f>
        <v>2</v>
      </c>
      <c r="T86" s="973">
        <f>'Spiel 8 - Halbfinal'!X40</f>
        <v>0</v>
      </c>
      <c r="U86" s="973">
        <f>'Spiel 8 - Halbfinal'!AB40</f>
        <v>0</v>
      </c>
      <c r="V86" s="434">
        <f>'Spiel 8 - Halbfinal'!AX40</f>
        <v>1</v>
      </c>
      <c r="W86" s="1025">
        <f>'Spiel 8 - Halbfinal'!BD40</f>
        <v>1</v>
      </c>
      <c r="X86" s="973">
        <f>'Spiel 9 - Final'!J41</f>
        <v>0</v>
      </c>
      <c r="Y86" s="434">
        <f>'Spiel 9 - Final'!R41</f>
        <v>1</v>
      </c>
      <c r="Z86" s="973">
        <f>'Spiel 9 - Final'!AK41</f>
        <v>0</v>
      </c>
      <c r="AA86" s="973">
        <f>'Spiel 9 - Final'!AO41</f>
        <v>0</v>
      </c>
      <c r="AB86" s="978">
        <f>'Spiel 9 - Final'!BC41</f>
        <v>0</v>
      </c>
      <c r="AC86" s="979">
        <f>SUM(B86:AB86)</f>
        <v>6</v>
      </c>
    </row>
    <row r="87" spans="1:29" hidden="1" outlineLevel="1">
      <c r="A87" s="971" t="s">
        <v>12</v>
      </c>
      <c r="B87" s="1043">
        <f>'Gruppe A'!M105</f>
        <v>0</v>
      </c>
      <c r="C87" s="989">
        <f>'Gruppe A'!BE17</f>
        <v>0</v>
      </c>
      <c r="D87" s="1043">
        <f>'Gruppe A'!BS17</f>
        <v>0</v>
      </c>
      <c r="E87" s="1042">
        <f>'Gruppe A'!K127</f>
        <v>0</v>
      </c>
      <c r="F87" s="1043">
        <f>'Gruppe A'!J38</f>
        <v>0</v>
      </c>
      <c r="G87" s="1042">
        <f>'Gruppe A'!R17</f>
        <v>0</v>
      </c>
      <c r="H87" s="1043">
        <f>'Gruppe A'!CF17</f>
        <v>0</v>
      </c>
      <c r="I87" s="1042">
        <f>'Gruppe A'!K151</f>
        <v>0</v>
      </c>
      <c r="J87" s="1043">
        <f>'Gruppe A'!J82</f>
        <v>0</v>
      </c>
      <c r="K87" s="1084">
        <f>'Gruppe A'!AQ17</f>
        <v>0.5</v>
      </c>
      <c r="L87" s="1043">
        <f>'Gruppe A'!AD17</f>
        <v>0</v>
      </c>
      <c r="M87" s="1042">
        <f>'Gruppe A'!M63</f>
        <v>0</v>
      </c>
      <c r="N87" s="989">
        <f>'Spiel 7 - Viertelfinal'!E72</f>
        <v>0</v>
      </c>
      <c r="O87" s="989">
        <f>'Spiel 7 - Viertelfinal'!X72</f>
        <v>0</v>
      </c>
      <c r="P87" s="989">
        <f>'Spiel 7 - Viertelfinal'!AE72</f>
        <v>0</v>
      </c>
      <c r="Q87" s="434"/>
      <c r="R87" s="434"/>
      <c r="S87" s="1039">
        <f>'Spiel 8 - Halbfinal'!E41</f>
        <v>1</v>
      </c>
      <c r="T87" s="1126">
        <f>'Spiel 8 - Halbfinal'!X41</f>
        <v>0</v>
      </c>
      <c r="U87" s="1126">
        <f>'Spiel 8 - Halbfinal'!AB41</f>
        <v>0</v>
      </c>
      <c r="V87" s="1044">
        <f>'Spiel 8 - Halbfinal'!AX41</f>
        <v>0.5</v>
      </c>
      <c r="W87" s="1041">
        <f>'Spiel 8 - Halbfinal'!BD41</f>
        <v>0.5</v>
      </c>
      <c r="X87" s="1126">
        <f>'Spiel 9 - Final'!J42</f>
        <v>0</v>
      </c>
      <c r="Y87" s="1044">
        <f>'Spiel 9 - Final'!R42</f>
        <v>0.5</v>
      </c>
      <c r="Z87" s="1126">
        <f>'Spiel 9 - Final'!AK42</f>
        <v>0</v>
      </c>
      <c r="AA87" s="1126">
        <f>'Spiel 9 - Final'!AO42</f>
        <v>0</v>
      </c>
      <c r="AB87" s="1042">
        <f>'Spiel 9 - Final'!BC42</f>
        <v>0</v>
      </c>
      <c r="AC87" s="1065">
        <f>AC86/AC85</f>
        <v>0.1276595744680851</v>
      </c>
    </row>
    <row r="88" spans="1:29" hidden="1" outlineLevel="1">
      <c r="A88" s="971" t="s">
        <v>5</v>
      </c>
      <c r="B88" s="1045">
        <f>'Gruppe A'!M106</f>
        <v>9</v>
      </c>
      <c r="C88" s="1088">
        <f>'Gruppe A'!BE18</f>
        <v>7.5</v>
      </c>
      <c r="D88" s="1047">
        <f>'Gruppe A'!BS18</f>
        <v>10</v>
      </c>
      <c r="E88" s="1050">
        <f>'Gruppe A'!K128</f>
        <v>5.5</v>
      </c>
      <c r="F88" s="1124">
        <f>'Gruppe A'!J39</f>
        <v>2.5</v>
      </c>
      <c r="G88" s="1049">
        <f>'Gruppe A'!R18</f>
        <v>3</v>
      </c>
      <c r="H88" s="1047">
        <f>'Gruppe A'!CF18</f>
        <v>7</v>
      </c>
      <c r="I88" s="1048">
        <f>'Gruppe A'!K152</f>
        <v>9</v>
      </c>
      <c r="J88" s="1045">
        <f>'Gruppe A'!J83</f>
        <v>7.5</v>
      </c>
      <c r="K88" s="1046">
        <f>'Gruppe A'!AQ18</f>
        <v>5</v>
      </c>
      <c r="L88" s="1047">
        <f>'Gruppe A'!AD18</f>
        <v>9.5</v>
      </c>
      <c r="M88" s="1050">
        <f>'Gruppe A'!M64</f>
        <v>7</v>
      </c>
      <c r="N88" s="1046">
        <f>'Spiel 7 - Viertelfinal'!E73</f>
        <v>3.5</v>
      </c>
      <c r="O88" s="1046">
        <f>'Spiel 7 - Viertelfinal'!X73</f>
        <v>8</v>
      </c>
      <c r="P88" s="1046">
        <f>'Spiel 7 - Viertelfinal'!AE73</f>
        <v>5.5</v>
      </c>
      <c r="Q88" s="1046"/>
      <c r="R88" s="1046"/>
      <c r="S88" s="1047">
        <f>'Spiel 8 - Halbfinal'!E42</f>
        <v>0</v>
      </c>
      <c r="T88" s="1046">
        <f>'Spiel 8 - Halbfinal'!X42</f>
        <v>10</v>
      </c>
      <c r="U88" s="1046">
        <f>'Spiel 8 - Halbfinal'!AB42</f>
        <v>8.5</v>
      </c>
      <c r="V88" s="1046">
        <f>'Spiel 8 - Halbfinal'!AX42</f>
        <v>3</v>
      </c>
      <c r="W88" s="1048">
        <f>'Spiel 8 - Halbfinal'!BD42</f>
        <v>3</v>
      </c>
      <c r="X88" s="1046">
        <f>'Spiel 9 - Final'!J43</f>
        <v>9</v>
      </c>
      <c r="Y88" s="1046">
        <f>'Spiel 9 - Final'!R43</f>
        <v>1</v>
      </c>
      <c r="Z88" s="1046">
        <f>'Spiel 9 - Final'!AK43</f>
        <v>2</v>
      </c>
      <c r="AA88" s="1046">
        <f>'Spiel 9 - Final'!AO43</f>
        <v>9.5</v>
      </c>
      <c r="AB88" s="1049">
        <f>'Spiel 9 - Final'!BC43</f>
        <v>4.5</v>
      </c>
      <c r="AC88" s="1002">
        <f>AC84/AC85</f>
        <v>5.9361702127659575</v>
      </c>
    </row>
    <row r="89" spans="1:29" hidden="1" outlineLevel="1">
      <c r="A89" s="1003" t="s">
        <v>8</v>
      </c>
      <c r="B89" s="1053">
        <f>'Gruppe A'!M107</f>
        <v>9</v>
      </c>
      <c r="C89" s="1091">
        <f>'Gruppe A'!BE19</f>
        <v>7.5</v>
      </c>
      <c r="D89" s="1055">
        <f>'Gruppe A'!BS19</f>
        <v>10</v>
      </c>
      <c r="E89" s="1058">
        <f>'Gruppe A'!K129</f>
        <v>5.5</v>
      </c>
      <c r="F89" s="1091">
        <f>'Gruppe A'!J40</f>
        <v>2.5</v>
      </c>
      <c r="G89" s="1057">
        <f>'Gruppe A'!R19</f>
        <v>3</v>
      </c>
      <c r="H89" s="1055">
        <f>'Gruppe A'!CF19</f>
        <v>7</v>
      </c>
      <c r="I89" s="1056">
        <f>'Gruppe A'!K153</f>
        <v>9</v>
      </c>
      <c r="J89" s="1053">
        <f>'Gruppe A'!J84</f>
        <v>7.5</v>
      </c>
      <c r="K89" s="1054">
        <f>'Gruppe A'!AQ19</f>
        <v>10</v>
      </c>
      <c r="L89" s="1055">
        <f>'Gruppe A'!AD19</f>
        <v>9.5</v>
      </c>
      <c r="M89" s="1058">
        <f>'Gruppe A'!M65</f>
        <v>7</v>
      </c>
      <c r="N89" s="1054">
        <f>'Spiel 7 - Viertelfinal'!E74</f>
        <v>3.5</v>
      </c>
      <c r="O89" s="1054">
        <f>'Spiel 7 - Viertelfinal'!X74</f>
        <v>8</v>
      </c>
      <c r="P89" s="1054">
        <f>'Spiel 7 - Viertelfinal'!AE74</f>
        <v>5.5</v>
      </c>
      <c r="Q89" s="1054"/>
      <c r="R89" s="1054"/>
      <c r="S89" s="1055">
        <v>0</v>
      </c>
      <c r="T89" s="1054">
        <f>'Spiel 8 - Halbfinal'!X43</f>
        <v>10</v>
      </c>
      <c r="U89" s="1054">
        <f>'Spiel 8 - Halbfinal'!AB43</f>
        <v>8.5</v>
      </c>
      <c r="V89" s="1054">
        <f>'Spiel 8 - Halbfinal'!AX43</f>
        <v>6</v>
      </c>
      <c r="W89" s="1056">
        <f>'Spiel 8 - Halbfinal'!BD43</f>
        <v>6</v>
      </c>
      <c r="X89" s="1054">
        <f>'Spiel 9 - Final'!J44</f>
        <v>9</v>
      </c>
      <c r="Y89" s="1054">
        <f>'Spiel 9 - Final'!R44</f>
        <v>2</v>
      </c>
      <c r="Z89" s="1054">
        <f>'Spiel 9 - Final'!AK44</f>
        <v>2</v>
      </c>
      <c r="AA89" s="1054">
        <f>'Spiel 9 - Final'!AO44</f>
        <v>9.5</v>
      </c>
      <c r="AB89" s="1058">
        <f>'Spiel 9 - Final'!BC44</f>
        <v>4.5</v>
      </c>
      <c r="AC89" s="1066">
        <f>AC84/(AC85-AC86)</f>
        <v>6.8048780487804876</v>
      </c>
    </row>
    <row r="90" spans="1:29" ht="3" hidden="1" customHeight="1" outlineLevel="1">
      <c r="M90" s="1129"/>
    </row>
    <row r="91" spans="1:29" collapsed="1">
      <c r="A91" s="1130" t="s">
        <v>130</v>
      </c>
      <c r="B91" s="1131"/>
      <c r="C91" s="1132"/>
      <c r="D91" s="1131"/>
      <c r="E91" s="1133"/>
      <c r="F91" s="1132"/>
      <c r="G91" s="1133"/>
      <c r="H91" s="1131"/>
      <c r="I91" s="1133"/>
      <c r="J91" s="1131"/>
      <c r="K91" s="1132"/>
      <c r="L91" s="1131"/>
      <c r="M91" s="1133"/>
      <c r="N91" s="1132"/>
      <c r="O91" s="1132"/>
      <c r="P91" s="1132"/>
      <c r="Q91" s="1132"/>
      <c r="R91" s="1132"/>
      <c r="S91" s="1131"/>
      <c r="T91" s="1132"/>
      <c r="U91" s="1132"/>
      <c r="V91" s="1132"/>
      <c r="W91" s="1133"/>
      <c r="X91" s="1132"/>
      <c r="Y91" s="1132"/>
      <c r="Z91" s="1132"/>
      <c r="AA91" s="1132"/>
      <c r="AB91" s="1133"/>
      <c r="AC91" s="1134"/>
    </row>
    <row r="92" spans="1:29">
      <c r="A92" s="971" t="s">
        <v>3</v>
      </c>
      <c r="B92" s="982">
        <f>B100+B108+B116+B124+B132+B140</f>
        <v>31</v>
      </c>
      <c r="C92" s="1105">
        <f t="shared" ref="C92:AB92" si="26">C100+C108+C116+C124+C132+C140</f>
        <v>35</v>
      </c>
      <c r="D92" s="972">
        <f t="shared" si="26"/>
        <v>50</v>
      </c>
      <c r="E92" s="978">
        <f>E100+E108+E116+E124+E132+E140</f>
        <v>50</v>
      </c>
      <c r="F92" s="973">
        <f>F100+F108+F116+F124+F132+F140</f>
        <v>50</v>
      </c>
      <c r="G92" s="983">
        <f t="shared" si="26"/>
        <v>30</v>
      </c>
      <c r="H92" s="982">
        <f t="shared" si="26"/>
        <v>47</v>
      </c>
      <c r="I92" s="978">
        <f t="shared" si="26"/>
        <v>50</v>
      </c>
      <c r="J92" s="980">
        <f t="shared" si="26"/>
        <v>39</v>
      </c>
      <c r="K92" s="981">
        <f t="shared" si="26"/>
        <v>35</v>
      </c>
      <c r="L92" s="972">
        <f t="shared" si="26"/>
        <v>50</v>
      </c>
      <c r="M92" s="978">
        <f t="shared" si="26"/>
        <v>50</v>
      </c>
      <c r="N92" s="981">
        <f t="shared" si="26"/>
        <v>34</v>
      </c>
      <c r="O92" s="973">
        <f t="shared" si="26"/>
        <v>50</v>
      </c>
      <c r="P92" s="973">
        <f t="shared" si="26"/>
        <v>50</v>
      </c>
      <c r="Q92" s="973">
        <f t="shared" si="26"/>
        <v>50</v>
      </c>
      <c r="R92" s="981"/>
      <c r="S92" s="972">
        <f t="shared" si="26"/>
        <v>50</v>
      </c>
      <c r="T92" s="973">
        <f t="shared" si="26"/>
        <v>50</v>
      </c>
      <c r="U92" s="981">
        <f t="shared" si="26"/>
        <v>45</v>
      </c>
      <c r="V92" s="973">
        <f t="shared" si="26"/>
        <v>50</v>
      </c>
      <c r="W92" s="983"/>
      <c r="X92" s="981">
        <f t="shared" si="26"/>
        <v>39</v>
      </c>
      <c r="Y92" s="981">
        <f t="shared" si="26"/>
        <v>42</v>
      </c>
      <c r="Z92" s="973">
        <f t="shared" si="26"/>
        <v>50</v>
      </c>
      <c r="AA92" s="973">
        <f t="shared" si="26"/>
        <v>50</v>
      </c>
      <c r="AB92" s="984">
        <f t="shared" si="26"/>
        <v>36</v>
      </c>
      <c r="AC92" s="979">
        <f>SUM(B92:AB92)</f>
        <v>1113</v>
      </c>
    </row>
    <row r="93" spans="1:29">
      <c r="A93" s="971" t="s">
        <v>4</v>
      </c>
      <c r="B93" s="980">
        <f t="shared" ref="B93:AB93" si="27">B101+B109+B117+B125+B133+B141</f>
        <v>8</v>
      </c>
      <c r="C93" s="981">
        <f t="shared" si="27"/>
        <v>9</v>
      </c>
      <c r="D93" s="980">
        <f t="shared" si="27"/>
        <v>13</v>
      </c>
      <c r="E93" s="983">
        <f t="shared" si="27"/>
        <v>8</v>
      </c>
      <c r="F93" s="981">
        <f t="shared" si="27"/>
        <v>6</v>
      </c>
      <c r="G93" s="984">
        <f t="shared" si="27"/>
        <v>6</v>
      </c>
      <c r="H93" s="980">
        <f t="shared" si="27"/>
        <v>9</v>
      </c>
      <c r="I93" s="1104">
        <f t="shared" si="27"/>
        <v>6</v>
      </c>
      <c r="J93" s="982">
        <f t="shared" si="27"/>
        <v>7</v>
      </c>
      <c r="K93" s="1105">
        <f t="shared" si="27"/>
        <v>7</v>
      </c>
      <c r="L93" s="980">
        <f t="shared" si="27"/>
        <v>7</v>
      </c>
      <c r="M93" s="983">
        <f t="shared" si="27"/>
        <v>8</v>
      </c>
      <c r="N93" s="981">
        <f t="shared" si="27"/>
        <v>10</v>
      </c>
      <c r="O93" s="981">
        <f t="shared" si="27"/>
        <v>9</v>
      </c>
      <c r="P93" s="981">
        <f t="shared" si="27"/>
        <v>13</v>
      </c>
      <c r="Q93" s="981">
        <f t="shared" si="27"/>
        <v>9</v>
      </c>
      <c r="R93" s="981"/>
      <c r="S93" s="982">
        <f t="shared" si="27"/>
        <v>8</v>
      </c>
      <c r="T93" s="981">
        <f t="shared" si="27"/>
        <v>7</v>
      </c>
      <c r="U93" s="981">
        <f t="shared" si="27"/>
        <v>11</v>
      </c>
      <c r="V93" s="981">
        <f t="shared" si="27"/>
        <v>11</v>
      </c>
      <c r="W93" s="983"/>
      <c r="X93" s="981">
        <f t="shared" si="27"/>
        <v>6</v>
      </c>
      <c r="Y93" s="981">
        <f t="shared" si="27"/>
        <v>8</v>
      </c>
      <c r="Z93" s="981">
        <f t="shared" si="27"/>
        <v>7</v>
      </c>
      <c r="AA93" s="981">
        <f t="shared" si="27"/>
        <v>7</v>
      </c>
      <c r="AB93" s="984">
        <f t="shared" si="27"/>
        <v>7</v>
      </c>
      <c r="AC93" s="985">
        <f>SUM(B93:AB93)</f>
        <v>207</v>
      </c>
    </row>
    <row r="94" spans="1:29">
      <c r="A94" s="971" t="s">
        <v>6</v>
      </c>
      <c r="B94" s="980">
        <f t="shared" ref="B94:AB94" si="28">B102+B110+B118+B126+B134+B142</f>
        <v>2</v>
      </c>
      <c r="C94" s="986">
        <f t="shared" si="28"/>
        <v>2</v>
      </c>
      <c r="D94" s="980">
        <f t="shared" si="28"/>
        <v>3</v>
      </c>
      <c r="E94" s="1104">
        <f t="shared" si="28"/>
        <v>1</v>
      </c>
      <c r="F94" s="972">
        <f t="shared" si="28"/>
        <v>0</v>
      </c>
      <c r="G94" s="1104">
        <f t="shared" si="28"/>
        <v>1</v>
      </c>
      <c r="H94" s="980">
        <f t="shared" si="28"/>
        <v>2</v>
      </c>
      <c r="I94" s="978">
        <f t="shared" si="28"/>
        <v>0</v>
      </c>
      <c r="J94" s="980">
        <f t="shared" si="28"/>
        <v>2</v>
      </c>
      <c r="K94" s="1104">
        <f t="shared" si="28"/>
        <v>1</v>
      </c>
      <c r="L94" s="972">
        <f t="shared" si="28"/>
        <v>0</v>
      </c>
      <c r="M94" s="978">
        <f t="shared" si="28"/>
        <v>0</v>
      </c>
      <c r="N94" s="981">
        <f t="shared" si="28"/>
        <v>4</v>
      </c>
      <c r="O94" s="981">
        <f t="shared" si="28"/>
        <v>1</v>
      </c>
      <c r="P94" s="981">
        <f t="shared" si="28"/>
        <v>3</v>
      </c>
      <c r="Q94" s="981">
        <f t="shared" si="28"/>
        <v>2</v>
      </c>
      <c r="R94" s="981"/>
      <c r="S94" s="982">
        <f t="shared" si="28"/>
        <v>1</v>
      </c>
      <c r="T94" s="981">
        <f t="shared" si="28"/>
        <v>1</v>
      </c>
      <c r="U94" s="981">
        <f t="shared" si="28"/>
        <v>2</v>
      </c>
      <c r="V94" s="981">
        <f t="shared" si="28"/>
        <v>3</v>
      </c>
      <c r="W94" s="983"/>
      <c r="X94" s="981">
        <f t="shared" si="28"/>
        <v>1</v>
      </c>
      <c r="Y94" s="981">
        <f t="shared" si="28"/>
        <v>1</v>
      </c>
      <c r="Z94" s="973">
        <f t="shared" si="28"/>
        <v>0</v>
      </c>
      <c r="AA94" s="981">
        <f t="shared" si="28"/>
        <v>1</v>
      </c>
      <c r="AB94" s="984">
        <f t="shared" si="28"/>
        <v>2</v>
      </c>
      <c r="AC94" s="987">
        <f>SUM(B94:AB94)</f>
        <v>36</v>
      </c>
    </row>
    <row r="95" spans="1:29">
      <c r="A95" s="971" t="s">
        <v>12</v>
      </c>
      <c r="B95" s="988">
        <f>B94/B93</f>
        <v>0.25</v>
      </c>
      <c r="C95" s="990">
        <f t="shared" ref="C95:AB95" si="29">C94/C93</f>
        <v>0.22222222222222221</v>
      </c>
      <c r="D95" s="993">
        <f t="shared" si="29"/>
        <v>0.23076923076923078</v>
      </c>
      <c r="E95" s="994">
        <f t="shared" si="29"/>
        <v>0.125</v>
      </c>
      <c r="F95" s="1043">
        <f t="shared" si="29"/>
        <v>0</v>
      </c>
      <c r="G95" s="994">
        <f t="shared" si="29"/>
        <v>0.16666666666666666</v>
      </c>
      <c r="H95" s="993">
        <f t="shared" si="29"/>
        <v>0.22222222222222221</v>
      </c>
      <c r="I95" s="1042">
        <f t="shared" si="29"/>
        <v>0</v>
      </c>
      <c r="J95" s="993">
        <f t="shared" si="29"/>
        <v>0.2857142857142857</v>
      </c>
      <c r="K95" s="994">
        <f t="shared" si="29"/>
        <v>0.14285714285714285</v>
      </c>
      <c r="L95" s="1043">
        <f t="shared" si="29"/>
        <v>0</v>
      </c>
      <c r="M95" s="1042">
        <f t="shared" si="29"/>
        <v>0</v>
      </c>
      <c r="N95" s="992">
        <f t="shared" si="29"/>
        <v>0.4</v>
      </c>
      <c r="O95" s="992">
        <f t="shared" si="29"/>
        <v>0.1111111111111111</v>
      </c>
      <c r="P95" s="992">
        <f t="shared" si="29"/>
        <v>0.23076923076923078</v>
      </c>
      <c r="Q95" s="992">
        <f t="shared" si="29"/>
        <v>0.22222222222222221</v>
      </c>
      <c r="R95" s="992"/>
      <c r="S95" s="993">
        <f t="shared" si="29"/>
        <v>0.125</v>
      </c>
      <c r="T95" s="992">
        <f t="shared" si="29"/>
        <v>0.14285714285714285</v>
      </c>
      <c r="U95" s="992">
        <f t="shared" si="29"/>
        <v>0.18181818181818182</v>
      </c>
      <c r="V95" s="992">
        <f t="shared" si="29"/>
        <v>0.27272727272727271</v>
      </c>
      <c r="W95" s="994"/>
      <c r="X95" s="992">
        <f t="shared" si="29"/>
        <v>0.16666666666666666</v>
      </c>
      <c r="Y95" s="992">
        <f t="shared" si="29"/>
        <v>0.125</v>
      </c>
      <c r="Z95" s="989">
        <f t="shared" si="29"/>
        <v>0</v>
      </c>
      <c r="AA95" s="992">
        <f t="shared" si="29"/>
        <v>0.14285714285714285</v>
      </c>
      <c r="AB95" s="995">
        <f t="shared" si="29"/>
        <v>0.2857142857142857</v>
      </c>
      <c r="AC95" s="996">
        <f>AC94/AC93</f>
        <v>0.17391304347826086</v>
      </c>
    </row>
    <row r="96" spans="1:29">
      <c r="A96" s="971" t="s">
        <v>5</v>
      </c>
      <c r="B96" s="997">
        <f t="shared" ref="B96:AB96" si="30">(B104+B112+B136+B144)/4</f>
        <v>2.75</v>
      </c>
      <c r="C96" s="998">
        <f t="shared" si="30"/>
        <v>3.25</v>
      </c>
      <c r="D96" s="999">
        <f t="shared" si="30"/>
        <v>3.166666666666667</v>
      </c>
      <c r="E96" s="1000">
        <f t="shared" si="30"/>
        <v>4.375</v>
      </c>
      <c r="F96" s="1106">
        <f t="shared" si="30"/>
        <v>3.625</v>
      </c>
      <c r="G96" s="1001">
        <f t="shared" si="30"/>
        <v>2</v>
      </c>
      <c r="H96" s="999">
        <f t="shared" si="30"/>
        <v>4.291666666666667</v>
      </c>
      <c r="I96" s="1107">
        <f t="shared" si="30"/>
        <v>6.5</v>
      </c>
      <c r="J96" s="997">
        <f t="shared" si="30"/>
        <v>3.75</v>
      </c>
      <c r="K96" s="1108">
        <f t="shared" si="30"/>
        <v>4.125</v>
      </c>
      <c r="L96" s="999">
        <f t="shared" si="30"/>
        <v>4.25</v>
      </c>
      <c r="M96" s="1000">
        <f t="shared" si="30"/>
        <v>3.75</v>
      </c>
      <c r="N96" s="998">
        <f t="shared" si="30"/>
        <v>2.0833333333333335</v>
      </c>
      <c r="O96" s="998">
        <f t="shared" si="30"/>
        <v>3.458333333333333</v>
      </c>
      <c r="P96" s="998">
        <f t="shared" si="30"/>
        <v>3.916666666666667</v>
      </c>
      <c r="Q96" s="998">
        <f t="shared" si="30"/>
        <v>5.333333333333333</v>
      </c>
      <c r="R96" s="998"/>
      <c r="S96" s="997">
        <f t="shared" si="30"/>
        <v>2.875</v>
      </c>
      <c r="T96" s="998">
        <f t="shared" si="30"/>
        <v>2.625</v>
      </c>
      <c r="U96" s="998">
        <f t="shared" si="30"/>
        <v>1.9166666666666665</v>
      </c>
      <c r="V96" s="998">
        <f t="shared" si="30"/>
        <v>2.1666666666666665</v>
      </c>
      <c r="W96" s="1000"/>
      <c r="X96" s="998">
        <f t="shared" si="30"/>
        <v>4.125</v>
      </c>
      <c r="Y96" s="998">
        <f t="shared" si="30"/>
        <v>2.875</v>
      </c>
      <c r="Z96" s="998">
        <f t="shared" si="30"/>
        <v>4</v>
      </c>
      <c r="AA96" s="998">
        <f t="shared" si="30"/>
        <v>2.875</v>
      </c>
      <c r="AB96" s="1001">
        <f t="shared" si="30"/>
        <v>2.5</v>
      </c>
      <c r="AC96" s="1002">
        <f>AC92/AC93</f>
        <v>5.3768115942028984</v>
      </c>
    </row>
    <row r="97" spans="1:29">
      <c r="A97" s="1003" t="s">
        <v>8</v>
      </c>
      <c r="B97" s="1004">
        <f t="shared" ref="B97:AB97" si="31">(B105+B113+B137+B145)/4</f>
        <v>4.125</v>
      </c>
      <c r="C97" s="1005">
        <f t="shared" si="31"/>
        <v>3.25</v>
      </c>
      <c r="D97" s="1109">
        <f t="shared" si="31"/>
        <v>3.875</v>
      </c>
      <c r="E97" s="1006">
        <f t="shared" si="31"/>
        <v>5.125</v>
      </c>
      <c r="F97" s="1005">
        <f t="shared" si="31"/>
        <v>3.625</v>
      </c>
      <c r="G97" s="1110">
        <f t="shared" si="31"/>
        <v>3.25</v>
      </c>
      <c r="H97" s="1109">
        <f t="shared" si="31"/>
        <v>6.666666666666667</v>
      </c>
      <c r="I97" s="1111">
        <f t="shared" si="31"/>
        <v>6.5</v>
      </c>
      <c r="J97" s="1004">
        <f t="shared" si="31"/>
        <v>3.75</v>
      </c>
      <c r="K97" s="1112">
        <f t="shared" si="31"/>
        <v>4.875</v>
      </c>
      <c r="L97" s="1109">
        <f t="shared" si="31"/>
        <v>4.25</v>
      </c>
      <c r="M97" s="1006">
        <f t="shared" si="31"/>
        <v>3.75</v>
      </c>
      <c r="N97" s="1005">
        <f t="shared" si="31"/>
        <v>3.916666666666667</v>
      </c>
      <c r="O97" s="1005">
        <f t="shared" si="31"/>
        <v>3.458333333333333</v>
      </c>
      <c r="P97" s="1005">
        <f t="shared" si="31"/>
        <v>5.5</v>
      </c>
      <c r="Q97" s="1005">
        <f t="shared" si="31"/>
        <v>6.708333333333333</v>
      </c>
      <c r="R97" s="1005"/>
      <c r="S97" s="1004">
        <f t="shared" si="31"/>
        <v>3.625</v>
      </c>
      <c r="T97" s="1005">
        <f t="shared" si="31"/>
        <v>3.875</v>
      </c>
      <c r="U97" s="1005">
        <f t="shared" si="31"/>
        <v>2.333333333333333</v>
      </c>
      <c r="V97" s="1005">
        <f t="shared" si="31"/>
        <v>3.25</v>
      </c>
      <c r="W97" s="1006"/>
      <c r="X97" s="1005">
        <f t="shared" si="31"/>
        <v>4.125</v>
      </c>
      <c r="Y97" s="1005">
        <f t="shared" si="31"/>
        <v>3.75</v>
      </c>
      <c r="Z97" s="1005">
        <f t="shared" si="31"/>
        <v>4</v>
      </c>
      <c r="AA97" s="1005">
        <f t="shared" si="31"/>
        <v>3.75</v>
      </c>
      <c r="AB97" s="1110">
        <f t="shared" si="31"/>
        <v>3</v>
      </c>
      <c r="AC97" s="1007">
        <f>AC92/(AC93-AC94)</f>
        <v>6.5087719298245617</v>
      </c>
    </row>
    <row r="98" spans="1:29" ht="3" customHeight="1">
      <c r="L98" s="1135"/>
      <c r="M98" s="1136"/>
      <c r="N98" s="1135"/>
      <c r="O98" s="1135"/>
      <c r="P98" s="1135"/>
      <c r="Q98" s="1135"/>
      <c r="R98" s="1135"/>
      <c r="S98" s="1137"/>
      <c r="T98" s="1135"/>
      <c r="U98" s="1135"/>
      <c r="V98" s="1135"/>
      <c r="W98" s="1136"/>
      <c r="X98" s="1135"/>
      <c r="Y98" s="1135"/>
      <c r="Z98" s="1135"/>
      <c r="AA98" s="1135"/>
      <c r="AB98" s="1135"/>
    </row>
    <row r="99" spans="1:29" hidden="1" outlineLevel="1">
      <c r="A99" s="1020" t="s">
        <v>99</v>
      </c>
      <c r="B99" s="1021"/>
      <c r="C99" s="1023"/>
      <c r="D99" s="1021"/>
      <c r="E99" s="1022"/>
      <c r="F99" s="1021"/>
      <c r="G99" s="1022"/>
      <c r="H99" s="1021"/>
      <c r="I99" s="1022"/>
      <c r="J99" s="1021"/>
      <c r="K99" s="1022"/>
      <c r="L99" s="1024"/>
      <c r="M99" s="1025"/>
      <c r="N99" s="434"/>
      <c r="O99" s="434"/>
      <c r="P99" s="434"/>
      <c r="Q99" s="434"/>
      <c r="R99" s="434"/>
      <c r="S99" s="1024"/>
      <c r="T99" s="434"/>
      <c r="U99" s="434"/>
      <c r="V99" s="434"/>
      <c r="W99" s="1025"/>
      <c r="X99" s="434"/>
      <c r="Y99" s="434"/>
      <c r="Z99" s="434"/>
      <c r="AA99" s="434"/>
      <c r="AB99" s="1025"/>
      <c r="AC99" s="1026"/>
    </row>
    <row r="100" spans="1:29" hidden="1" outlineLevel="1">
      <c r="A100" s="971" t="s">
        <v>3</v>
      </c>
      <c r="B100" s="1027">
        <f>'Gruppe A'!Q79</f>
        <v>11</v>
      </c>
      <c r="C100" s="1029">
        <f>'Gruppe A'!AX35</f>
        <v>15</v>
      </c>
      <c r="D100" s="1028">
        <f>'Gruppe A'!AW148</f>
        <v>28</v>
      </c>
      <c r="E100" s="1029">
        <f>'Gruppe A'!CE79</f>
        <v>17</v>
      </c>
      <c r="F100" s="113">
        <f>'Gruppe A'!AC79</f>
        <v>13</v>
      </c>
      <c r="G100" s="1031">
        <f>'Gruppe A'!AW60</f>
        <v>10</v>
      </c>
      <c r="H100" s="1027">
        <f>'Gruppe A'!AW102</f>
        <v>23</v>
      </c>
      <c r="I100" s="1029">
        <f>'Gruppe A'!BC79</f>
        <v>23</v>
      </c>
      <c r="J100" s="1028">
        <f>'Gruppe A'!C79</f>
        <v>21</v>
      </c>
      <c r="K100" s="1079">
        <f>'Gruppe A'!AW14</f>
        <v>10</v>
      </c>
      <c r="L100" s="1027">
        <f>'Gruppe A'!AW124</f>
        <v>18</v>
      </c>
      <c r="M100" s="1031">
        <f>'Gruppe A'!BP79</f>
        <v>18</v>
      </c>
      <c r="N100" s="1079">
        <f>'Spiel 7 - Viertelfinal'!I47</f>
        <v>11</v>
      </c>
      <c r="O100" s="1079">
        <f>'Spiel 7 - Viertelfinal'!O47</f>
        <v>22</v>
      </c>
      <c r="P100" s="1079">
        <f>'Spiel 7 - Viertelfinal'!AI47</f>
        <v>12</v>
      </c>
      <c r="Q100" s="1079">
        <f>'Spiel 7 - Viertelfinal'!AO47</f>
        <v>22</v>
      </c>
      <c r="R100" s="1079"/>
      <c r="S100" s="1027">
        <f>'Spiel 8 - Halbfinal'!I18</f>
        <v>17</v>
      </c>
      <c r="T100" s="1079">
        <f>'Spiel 8 - Halbfinal'!O18</f>
        <v>10</v>
      </c>
      <c r="U100" s="1079">
        <f>'Spiel 8 - Halbfinal'!AI18</f>
        <v>10</v>
      </c>
      <c r="V100" s="1079">
        <f>'Spiel 8 - Halbfinal'!AO18</f>
        <v>19</v>
      </c>
      <c r="W100" s="1031"/>
      <c r="X100" s="1079">
        <f>'Spiel 9 - Final'!B39</f>
        <v>21</v>
      </c>
      <c r="Y100" s="1079">
        <f>'Spiel 9 - Final'!V39</f>
        <v>7</v>
      </c>
      <c r="Z100" s="1079">
        <f>'Spiel 9 - Final'!AB39</f>
        <v>17</v>
      </c>
      <c r="AA100" s="1079">
        <f>'Spiel 9 - Final'!AV39</f>
        <v>16</v>
      </c>
      <c r="AB100" s="1030">
        <f>'Spiel 9 - Final'!BI39</f>
        <v>4</v>
      </c>
      <c r="AC100" s="979">
        <f>SUM(B100:AB100)</f>
        <v>395</v>
      </c>
    </row>
    <row r="101" spans="1:29" hidden="1" outlineLevel="1">
      <c r="A101" s="971" t="s">
        <v>4</v>
      </c>
      <c r="B101" s="1027">
        <f>'Gruppe A'!Q80</f>
        <v>2</v>
      </c>
      <c r="C101" s="1029">
        <f>'Gruppe A'!AX36</f>
        <v>2</v>
      </c>
      <c r="D101" s="1028">
        <f>'Gruppe A'!AW149</f>
        <v>4</v>
      </c>
      <c r="E101" s="1029">
        <f>'Gruppe A'!CE80</f>
        <v>2</v>
      </c>
      <c r="F101" s="1028">
        <f>'Gruppe A'!AC80</f>
        <v>2</v>
      </c>
      <c r="G101" s="1029">
        <f>'Gruppe A'!AW61</f>
        <v>2</v>
      </c>
      <c r="H101" s="1028">
        <f>'Gruppe A'!AW103</f>
        <v>3</v>
      </c>
      <c r="I101" s="1029">
        <f>'Gruppe A'!BC80</f>
        <v>2</v>
      </c>
      <c r="J101" s="1027">
        <f>'Gruppe A'!C80</f>
        <v>2</v>
      </c>
      <c r="K101" s="113">
        <f>'Gruppe A'!AW15</f>
        <v>2</v>
      </c>
      <c r="L101" s="1028">
        <f>'Gruppe A'!AW125</f>
        <v>2</v>
      </c>
      <c r="M101" s="1031">
        <f>'Gruppe A'!BP80</f>
        <v>2</v>
      </c>
      <c r="N101" s="1079">
        <f>'Spiel 7 - Viertelfinal'!I48</f>
        <v>3</v>
      </c>
      <c r="O101" s="1079">
        <f>'Spiel 7 - Viertelfinal'!O48</f>
        <v>3</v>
      </c>
      <c r="P101" s="1079">
        <f>'Spiel 7 - Viertelfinal'!AI48</f>
        <v>4</v>
      </c>
      <c r="Q101" s="1079">
        <f>'Spiel 7 - Viertelfinal'!AO48</f>
        <v>3</v>
      </c>
      <c r="R101" s="1079"/>
      <c r="S101" s="1027">
        <f>'Spiel 8 - Halbfinal'!I19</f>
        <v>2</v>
      </c>
      <c r="T101" s="1079">
        <f>'Spiel 8 - Halbfinal'!O19</f>
        <v>2</v>
      </c>
      <c r="U101" s="1079">
        <f>'Spiel 8 - Halbfinal'!AI19</f>
        <v>3</v>
      </c>
      <c r="V101" s="1079">
        <f>'Spiel 8 - Halbfinal'!AO19</f>
        <v>3</v>
      </c>
      <c r="W101" s="1031"/>
      <c r="X101" s="1079">
        <f>'Spiel 9 - Final'!B40</f>
        <v>2</v>
      </c>
      <c r="Y101" s="1079">
        <f>'Spiel 9 - Final'!V40</f>
        <v>2</v>
      </c>
      <c r="Z101" s="1079">
        <f>'Spiel 9 - Final'!AB40</f>
        <v>2</v>
      </c>
      <c r="AA101" s="1079">
        <f>'Spiel 9 - Final'!AV40</f>
        <v>2</v>
      </c>
      <c r="AB101" s="1030">
        <f>'Spiel 9 - Final'!BI40</f>
        <v>2</v>
      </c>
      <c r="AC101" s="985">
        <f>SUM(B101:AB101)</f>
        <v>60</v>
      </c>
    </row>
    <row r="102" spans="1:29" hidden="1" outlineLevel="1">
      <c r="A102" s="971" t="s">
        <v>6</v>
      </c>
      <c r="B102" s="972">
        <f>'Gruppe A'!Q81</f>
        <v>0</v>
      </c>
      <c r="C102" s="978">
        <f>'Gruppe A'!AX37</f>
        <v>0</v>
      </c>
      <c r="D102" s="972">
        <f>'Gruppe A'!AW150</f>
        <v>0</v>
      </c>
      <c r="E102" s="978">
        <f>'Gruppe A'!CE81</f>
        <v>0</v>
      </c>
      <c r="F102" s="972">
        <f>'Gruppe A'!AC81</f>
        <v>0</v>
      </c>
      <c r="G102" s="1029">
        <f>'Gruppe A'!AW62</f>
        <v>1</v>
      </c>
      <c r="H102" s="972">
        <f>'Gruppe A'!AW104</f>
        <v>0</v>
      </c>
      <c r="I102" s="978">
        <f>'Gruppe A'!BC81</f>
        <v>0</v>
      </c>
      <c r="J102" s="972">
        <f>'Gruppe A'!C81</f>
        <v>0</v>
      </c>
      <c r="K102" s="978">
        <f>'Gruppe A'!AW16</f>
        <v>0</v>
      </c>
      <c r="L102" s="972">
        <f>'Gruppe A'!AW126</f>
        <v>0</v>
      </c>
      <c r="M102" s="978">
        <f>'Gruppe A'!BP81</f>
        <v>0</v>
      </c>
      <c r="N102" s="1079">
        <f>'Spiel 7 - Viertelfinal'!I49</f>
        <v>2</v>
      </c>
      <c r="O102" s="973">
        <f>'Spiel 7 - Viertelfinal'!O49</f>
        <v>0</v>
      </c>
      <c r="P102" s="973">
        <f>'Spiel 7 - Viertelfinal'!AI49</f>
        <v>0</v>
      </c>
      <c r="Q102" s="973">
        <f>'Spiel 7 - Viertelfinal'!AO49</f>
        <v>0</v>
      </c>
      <c r="R102" s="1079"/>
      <c r="S102" s="972">
        <f>'Spiel 8 - Halbfinal'!I20</f>
        <v>0</v>
      </c>
      <c r="T102" s="1079">
        <f>'Spiel 8 - Halbfinal'!O20</f>
        <v>1</v>
      </c>
      <c r="U102" s="1079">
        <f>'Spiel 8 - Halbfinal'!AI20</f>
        <v>1</v>
      </c>
      <c r="V102" s="1079">
        <f>'Spiel 8 - Halbfinal'!AO20</f>
        <v>1</v>
      </c>
      <c r="W102" s="1031"/>
      <c r="X102" s="973">
        <f>'Spiel 9 - Final'!B41</f>
        <v>0</v>
      </c>
      <c r="Y102" s="1079">
        <f>'Spiel 9 - Final'!V41</f>
        <v>1</v>
      </c>
      <c r="Z102" s="973">
        <f>'Spiel 9 - Final'!AB41</f>
        <v>0</v>
      </c>
      <c r="AA102" s="973">
        <f>'Spiel 9 - Final'!AV41</f>
        <v>0</v>
      </c>
      <c r="AB102" s="1030">
        <f>'Spiel 9 - Final'!BI41</f>
        <v>1</v>
      </c>
      <c r="AC102" s="1036">
        <f>SUM(B102:AB102)</f>
        <v>8</v>
      </c>
    </row>
    <row r="103" spans="1:29" hidden="1" outlineLevel="1">
      <c r="A103" s="971" t="s">
        <v>12</v>
      </c>
      <c r="B103" s="1043">
        <f>'Gruppe A'!Q82</f>
        <v>0</v>
      </c>
      <c r="C103" s="1042">
        <f>'Gruppe A'!AX38</f>
        <v>0</v>
      </c>
      <c r="D103" s="1043">
        <f>'Gruppe A'!AW151</f>
        <v>0</v>
      </c>
      <c r="E103" s="1042">
        <f>'Gruppe A'!CE82</f>
        <v>0</v>
      </c>
      <c r="F103" s="1043">
        <f>'Gruppe A'!AC82</f>
        <v>0</v>
      </c>
      <c r="G103" s="1085">
        <f>'Gruppe A'!AW63</f>
        <v>0.5</v>
      </c>
      <c r="H103" s="1043">
        <f>'Gruppe A'!AW105</f>
        <v>0</v>
      </c>
      <c r="I103" s="1042">
        <f>'Gruppe A'!BC82</f>
        <v>0</v>
      </c>
      <c r="J103" s="1043">
        <f>'Gruppe A'!C82</f>
        <v>0</v>
      </c>
      <c r="K103" s="1042">
        <f>'Gruppe A'!AW17</f>
        <v>0</v>
      </c>
      <c r="L103" s="1043">
        <f>'Gruppe A'!AW127</f>
        <v>0</v>
      </c>
      <c r="M103" s="1042">
        <f>'Gruppe A'!BP82</f>
        <v>0</v>
      </c>
      <c r="N103" s="1084">
        <f>'Spiel 7 - Viertelfinal'!I50</f>
        <v>0.66666666666666663</v>
      </c>
      <c r="O103" s="989">
        <f>'Spiel 7 - Viertelfinal'!O50</f>
        <v>0</v>
      </c>
      <c r="P103" s="989">
        <f>'Spiel 7 - Viertelfinal'!AI50</f>
        <v>0</v>
      </c>
      <c r="Q103" s="989">
        <f>'Spiel 7 - Viertelfinal'!AO50</f>
        <v>0</v>
      </c>
      <c r="R103" s="1084"/>
      <c r="S103" s="1043">
        <f>'Spiel 8 - Halbfinal'!I21</f>
        <v>0</v>
      </c>
      <c r="T103" s="1084">
        <f>'Spiel 8 - Halbfinal'!O21</f>
        <v>0.5</v>
      </c>
      <c r="U103" s="1084">
        <f>'Spiel 8 - Halbfinal'!AI21</f>
        <v>0.33333333333333331</v>
      </c>
      <c r="V103" s="1084">
        <f>'Spiel 8 - Halbfinal'!AO21</f>
        <v>0.33333333333333331</v>
      </c>
      <c r="W103" s="1085"/>
      <c r="X103" s="989">
        <f>'Spiel 9 - Final'!B42</f>
        <v>0</v>
      </c>
      <c r="Y103" s="1084">
        <f>'Spiel 9 - Final'!V42</f>
        <v>0.5</v>
      </c>
      <c r="Z103" s="989">
        <f>'Spiel 9 - Final'!AB42</f>
        <v>0</v>
      </c>
      <c r="AA103" s="989">
        <f>'Spiel 9 - Final'!AV42</f>
        <v>0</v>
      </c>
      <c r="AB103" s="1086">
        <f>'Spiel 9 - Final'!BI42</f>
        <v>0.5</v>
      </c>
      <c r="AC103" s="996">
        <f>AC102/AC101</f>
        <v>0.13333333333333333</v>
      </c>
    </row>
    <row r="104" spans="1:29" hidden="1" outlineLevel="1">
      <c r="A104" s="971" t="s">
        <v>5</v>
      </c>
      <c r="B104" s="1027">
        <f>'Gruppe A'!Q83</f>
        <v>5.5</v>
      </c>
      <c r="C104" s="1029">
        <f>'Gruppe A'!AX39</f>
        <v>7.5</v>
      </c>
      <c r="D104" s="1047">
        <f>'Gruppe A'!AW152</f>
        <v>7</v>
      </c>
      <c r="E104" s="1050">
        <f>'Gruppe A'!CE83</f>
        <v>8.5</v>
      </c>
      <c r="F104" s="1124">
        <f>'Gruppe A'!AC83</f>
        <v>6.5</v>
      </c>
      <c r="G104" s="1049">
        <f>'Gruppe A'!AW64</f>
        <v>5</v>
      </c>
      <c r="H104" s="1047">
        <f>'Gruppe A'!AW106</f>
        <v>7.666666666666667</v>
      </c>
      <c r="I104" s="1048">
        <f>'Gruppe A'!BC83</f>
        <v>11.5</v>
      </c>
      <c r="J104" s="1045">
        <f>'Gruppe A'!C83</f>
        <v>10.5</v>
      </c>
      <c r="K104" s="1046">
        <f>'Gruppe A'!AW18</f>
        <v>5</v>
      </c>
      <c r="L104" s="1047">
        <f>'Gruppe A'!AW128</f>
        <v>9</v>
      </c>
      <c r="M104" s="1050">
        <f>'Gruppe A'!BP83</f>
        <v>9</v>
      </c>
      <c r="N104" s="1088">
        <f>'Spiel 7 - Viertelfinal'!I51</f>
        <v>3.6666666666666665</v>
      </c>
      <c r="O104" s="1088">
        <f>'Spiel 7 - Viertelfinal'!O51</f>
        <v>7.333333333333333</v>
      </c>
      <c r="P104" s="1088">
        <f>'Spiel 7 - Viertelfinal'!AI51</f>
        <v>3</v>
      </c>
      <c r="Q104" s="1088">
        <f>'Spiel 7 - Viertelfinal'!AO51</f>
        <v>7.333333333333333</v>
      </c>
      <c r="R104" s="1088"/>
      <c r="S104" s="1045">
        <f>'Spiel 8 - Halbfinal'!I22</f>
        <v>8.5</v>
      </c>
      <c r="T104" s="1088">
        <f>'Spiel 8 - Halbfinal'!O22</f>
        <v>5</v>
      </c>
      <c r="U104" s="1088">
        <f>'Spiel 8 - Halbfinal'!AI22</f>
        <v>3.3333333333333335</v>
      </c>
      <c r="V104" s="1088">
        <f>'Spiel 8 - Halbfinal'!AO22</f>
        <v>6.333333333333333</v>
      </c>
      <c r="W104" s="1050"/>
      <c r="X104" s="1088">
        <f>'Spiel 9 - Final'!B43</f>
        <v>10.5</v>
      </c>
      <c r="Y104" s="1088">
        <f>'Spiel 9 - Final'!V43</f>
        <v>3.5</v>
      </c>
      <c r="Z104" s="1088">
        <f>'Spiel 9 - Final'!AB43</f>
        <v>8.5</v>
      </c>
      <c r="AA104" s="1088">
        <f>'Spiel 9 - Final'!AV43</f>
        <v>8</v>
      </c>
      <c r="AB104" s="1049">
        <f>'Spiel 9 - Final'!BI43</f>
        <v>2</v>
      </c>
      <c r="AC104" s="1002">
        <f>AC100/AC101</f>
        <v>6.583333333333333</v>
      </c>
    </row>
    <row r="105" spans="1:29" hidden="1" outlineLevel="1">
      <c r="A105" s="1003" t="s">
        <v>8</v>
      </c>
      <c r="B105" s="1138">
        <f>'Gruppe A'!Q84</f>
        <v>5.5</v>
      </c>
      <c r="C105" s="415">
        <f>'Gruppe A'!AX40</f>
        <v>7.5</v>
      </c>
      <c r="D105" s="1055">
        <f>'Gruppe A'!AW153</f>
        <v>7</v>
      </c>
      <c r="E105" s="1058">
        <f>'Gruppe A'!CE84</f>
        <v>8.5</v>
      </c>
      <c r="F105" s="1091">
        <f>'Gruppe A'!AC84</f>
        <v>6.5</v>
      </c>
      <c r="G105" s="1057">
        <f>'Gruppe A'!AW65</f>
        <v>10</v>
      </c>
      <c r="H105" s="1055">
        <f>'Gruppe A'!AW107</f>
        <v>7.666666666666667</v>
      </c>
      <c r="I105" s="1056">
        <f>'Gruppe A'!BC84</f>
        <v>11.5</v>
      </c>
      <c r="J105" s="1053">
        <f>'Gruppe A'!C84</f>
        <v>10.5</v>
      </c>
      <c r="K105" s="1054">
        <f>'Gruppe A'!AW19</f>
        <v>5</v>
      </c>
      <c r="L105" s="1055">
        <f>'Gruppe A'!AW129</f>
        <v>9</v>
      </c>
      <c r="M105" s="1058">
        <f>'Gruppe A'!BP84</f>
        <v>9</v>
      </c>
      <c r="N105" s="1091">
        <f>'Spiel 7 - Viertelfinal'!I52</f>
        <v>11</v>
      </c>
      <c r="O105" s="1091">
        <f>'Spiel 7 - Viertelfinal'!O52</f>
        <v>7.333333333333333</v>
      </c>
      <c r="P105" s="1091">
        <f>'Spiel 7 - Viertelfinal'!AI52</f>
        <v>3</v>
      </c>
      <c r="Q105" s="1091">
        <f>'Spiel 7 - Viertelfinal'!AO52</f>
        <v>7.333333333333333</v>
      </c>
      <c r="R105" s="1091"/>
      <c r="S105" s="1053">
        <f>'Spiel 8 - Halbfinal'!I23</f>
        <v>8.5</v>
      </c>
      <c r="T105" s="1091">
        <f>'Spiel 8 - Halbfinal'!O23</f>
        <v>10</v>
      </c>
      <c r="U105" s="1091">
        <f>'Spiel 8 - Halbfinal'!AI23</f>
        <v>5</v>
      </c>
      <c r="V105" s="1091">
        <f>'Spiel 8 - Halbfinal'!AO23</f>
        <v>9.5</v>
      </c>
      <c r="W105" s="1058"/>
      <c r="X105" s="1091">
        <f>'Spiel 9 - Final'!B44</f>
        <v>10.5</v>
      </c>
      <c r="Y105" s="1091">
        <f>'Spiel 9 - Final'!V44</f>
        <v>7</v>
      </c>
      <c r="Z105" s="1091">
        <f>'Spiel 9 - Final'!AB44</f>
        <v>8.5</v>
      </c>
      <c r="AA105" s="1091">
        <f>'Spiel 9 - Final'!AV44</f>
        <v>8</v>
      </c>
      <c r="AB105" s="1057">
        <f>'Spiel 9 - Final'!BI44</f>
        <v>4</v>
      </c>
      <c r="AC105" s="1007">
        <f>AC100/(AC101-AC102)</f>
        <v>7.5961538461538458</v>
      </c>
    </row>
    <row r="106" spans="1:29" ht="3" hidden="1" customHeight="1" outlineLevel="1">
      <c r="B106" s="1024"/>
      <c r="C106" s="1025"/>
      <c r="D106" s="1113"/>
      <c r="E106" s="1114"/>
      <c r="F106" s="1024"/>
      <c r="G106" s="1025"/>
      <c r="H106" s="1024"/>
      <c r="I106" s="1025"/>
      <c r="J106" s="1024"/>
      <c r="K106" s="1025"/>
      <c r="L106" s="1059"/>
      <c r="M106" s="1061"/>
      <c r="N106" s="1060"/>
      <c r="O106" s="1060"/>
      <c r="P106" s="1060"/>
      <c r="Q106" s="1060"/>
      <c r="R106" s="1060"/>
      <c r="S106" s="1059"/>
      <c r="T106" s="1060"/>
      <c r="U106" s="1060"/>
      <c r="V106" s="1060"/>
      <c r="W106" s="1061"/>
      <c r="X106" s="1060"/>
      <c r="Y106" s="1060"/>
      <c r="Z106" s="1060"/>
      <c r="AA106" s="1060"/>
      <c r="AB106" s="1061"/>
      <c r="AC106" s="1062"/>
    </row>
    <row r="107" spans="1:29" hidden="1" outlineLevel="1">
      <c r="A107" s="1020" t="s">
        <v>100</v>
      </c>
      <c r="B107" s="1021"/>
      <c r="C107" s="1023"/>
      <c r="D107" s="1021"/>
      <c r="E107" s="1022"/>
      <c r="F107" s="1021"/>
      <c r="G107" s="1022"/>
      <c r="H107" s="1021"/>
      <c r="I107" s="1022"/>
      <c r="J107" s="1021"/>
      <c r="K107" s="1022"/>
      <c r="L107" s="1024"/>
      <c r="M107" s="1025"/>
      <c r="N107" s="434"/>
      <c r="O107" s="434"/>
      <c r="P107" s="434"/>
      <c r="Q107" s="434"/>
      <c r="R107" s="434"/>
      <c r="S107" s="1024"/>
      <c r="T107" s="434"/>
      <c r="U107" s="434"/>
      <c r="V107" s="434"/>
      <c r="W107" s="1025"/>
      <c r="X107" s="434"/>
      <c r="Y107" s="434"/>
      <c r="Z107" s="434"/>
      <c r="AA107" s="434"/>
      <c r="AB107" s="1025"/>
      <c r="AC107" s="1026"/>
    </row>
    <row r="108" spans="1:29" hidden="1" outlineLevel="1">
      <c r="A108" s="971" t="s">
        <v>3</v>
      </c>
      <c r="B108" s="1027">
        <f>'Gruppe A'!S79</f>
        <v>7</v>
      </c>
      <c r="C108" s="1029"/>
      <c r="D108" s="1028"/>
      <c r="E108" s="1029">
        <f>'Gruppe A'!CC79</f>
        <v>6</v>
      </c>
      <c r="F108" s="113"/>
      <c r="G108" s="1031"/>
      <c r="H108" s="1027">
        <f>'Gruppe A'!AY102</f>
        <v>12</v>
      </c>
      <c r="I108" s="1029">
        <f>'Gruppe A'!BE79</f>
        <v>11</v>
      </c>
      <c r="J108" s="1028">
        <f>'Gruppe A'!E79</f>
        <v>0</v>
      </c>
      <c r="K108" s="1079">
        <f>'Gruppe A'!AY14</f>
        <v>6</v>
      </c>
      <c r="L108" s="1027"/>
      <c r="M108" s="1031"/>
      <c r="N108" s="1079">
        <f>'Spiel 7 - Viertelfinal'!J47</f>
        <v>14</v>
      </c>
      <c r="O108" s="1079">
        <f>'Spiel 7 - Viertelfinal'!P47</f>
        <v>13</v>
      </c>
      <c r="P108" s="1079">
        <f>'Spiel 7 - Viertelfinal'!AJ47</f>
        <v>13</v>
      </c>
      <c r="Q108" s="1079">
        <f>'Spiel 7 - Viertelfinal'!AP47</f>
        <v>6</v>
      </c>
      <c r="R108" s="1079"/>
      <c r="S108" s="1027">
        <f>'Spiel 8 - Halbfinal'!J18</f>
        <v>6</v>
      </c>
      <c r="T108" s="1079">
        <f>'Spiel 8 - Halbfinal'!P18</f>
        <v>11</v>
      </c>
      <c r="U108" s="1079">
        <f>'Spiel 8 - Halbfinal'!AJ18</f>
        <v>13</v>
      </c>
      <c r="V108" s="1079">
        <f>'Spiel 8 - Halbfinal'!AP18</f>
        <v>7</v>
      </c>
      <c r="W108" s="1031"/>
      <c r="X108" s="1079">
        <f>'Spiel 9 - Final'!C39</f>
        <v>12</v>
      </c>
      <c r="Y108" s="1079">
        <f>'Spiel 9 - Final'!W39</f>
        <v>16</v>
      </c>
      <c r="Z108" s="1079">
        <f>'Spiel 9 - Final'!AC39</f>
        <v>15</v>
      </c>
      <c r="AA108" s="1079">
        <f>'Spiel 9 - Final'!AW39</f>
        <v>7</v>
      </c>
      <c r="AB108" s="1030">
        <f>'Spiel 9 - Final'!BJ39</f>
        <v>16</v>
      </c>
      <c r="AC108" s="987">
        <f>SUM(B108:AB108)</f>
        <v>191</v>
      </c>
    </row>
    <row r="109" spans="1:29" hidden="1" outlineLevel="1">
      <c r="A109" s="971" t="s">
        <v>4</v>
      </c>
      <c r="B109" s="1027">
        <f>'Gruppe A'!S80</f>
        <v>2</v>
      </c>
      <c r="C109" s="1029"/>
      <c r="D109" s="1028"/>
      <c r="E109" s="1029">
        <f>'Gruppe A'!CC80</f>
        <v>2</v>
      </c>
      <c r="F109" s="1028"/>
      <c r="G109" s="1029"/>
      <c r="H109" s="1028">
        <f>'Gruppe A'!AY103</f>
        <v>2</v>
      </c>
      <c r="I109" s="1029">
        <f>'Gruppe A'!BE80</f>
        <v>1</v>
      </c>
      <c r="J109" s="1027">
        <f>'Gruppe A'!E80</f>
        <v>2</v>
      </c>
      <c r="K109" s="113">
        <f>'Gruppe A'!AY15</f>
        <v>2</v>
      </c>
      <c r="L109" s="1028"/>
      <c r="M109" s="1031"/>
      <c r="N109" s="1079">
        <f>'Spiel 7 - Viertelfinal'!J48</f>
        <v>3</v>
      </c>
      <c r="O109" s="1079">
        <f>'Spiel 7 - Viertelfinal'!P48</f>
        <v>2</v>
      </c>
      <c r="P109" s="1079">
        <f>'Spiel 7 - Viertelfinal'!AJ48</f>
        <v>3</v>
      </c>
      <c r="Q109" s="1079">
        <f>'Spiel 7 - Viertelfinal'!AP48</f>
        <v>2</v>
      </c>
      <c r="R109" s="1079"/>
      <c r="S109" s="1027">
        <f>'Spiel 8 - Halbfinal'!J19</f>
        <v>2</v>
      </c>
      <c r="T109" s="1079">
        <f>'Spiel 8 - Halbfinal'!P19</f>
        <v>2</v>
      </c>
      <c r="U109" s="1079">
        <f>'Spiel 8 - Halbfinal'!AJ19</f>
        <v>3</v>
      </c>
      <c r="V109" s="1079">
        <f>'Spiel 8 - Halbfinal'!AP19</f>
        <v>3</v>
      </c>
      <c r="W109" s="1031"/>
      <c r="X109" s="1079">
        <f>'Spiel 9 - Final'!C40</f>
        <v>2</v>
      </c>
      <c r="Y109" s="1079">
        <f>'Spiel 9 - Final'!W40</f>
        <v>2</v>
      </c>
      <c r="Z109" s="1079">
        <f>'Spiel 9 - Final'!AC40</f>
        <v>2</v>
      </c>
      <c r="AA109" s="1079">
        <f>'Spiel 9 - Final'!AW40</f>
        <v>2</v>
      </c>
      <c r="AB109" s="1030">
        <f>'Spiel 9 - Final'!BJ40</f>
        <v>2</v>
      </c>
      <c r="AC109" s="985">
        <f>SUM(B109:AB109)</f>
        <v>41</v>
      </c>
    </row>
    <row r="110" spans="1:29" hidden="1" outlineLevel="1">
      <c r="A110" s="971" t="s">
        <v>6</v>
      </c>
      <c r="B110" s="1027">
        <f>'Gruppe A'!S81</f>
        <v>1</v>
      </c>
      <c r="C110" s="1029"/>
      <c r="D110" s="1028"/>
      <c r="E110" s="1029">
        <f>'Gruppe A'!CC81</f>
        <v>1</v>
      </c>
      <c r="F110" s="1028"/>
      <c r="G110" s="1029"/>
      <c r="H110" s="1028">
        <f>'Gruppe A'!AY104</f>
        <v>1</v>
      </c>
      <c r="I110" s="978">
        <f>'Gruppe A'!BE81</f>
        <v>0</v>
      </c>
      <c r="J110" s="1028">
        <f>'Gruppe A'!E81</f>
        <v>2</v>
      </c>
      <c r="K110" s="1029">
        <f>'Gruppe A'!AY16</f>
        <v>1</v>
      </c>
      <c r="L110" s="1028"/>
      <c r="M110" s="1029"/>
      <c r="N110" s="973">
        <f>'Spiel 7 - Viertelfinal'!J49</f>
        <v>0</v>
      </c>
      <c r="O110" s="973">
        <f>'Spiel 7 - Viertelfinal'!P49</f>
        <v>0</v>
      </c>
      <c r="P110" s="1079">
        <f>'Spiel 7 - Viertelfinal'!AJ49</f>
        <v>1</v>
      </c>
      <c r="Q110" s="1079">
        <f>'Spiel 7 - Viertelfinal'!AP49</f>
        <v>1</v>
      </c>
      <c r="R110" s="1079"/>
      <c r="S110" s="1027">
        <f>'Spiel 8 - Halbfinal'!J20</f>
        <v>1</v>
      </c>
      <c r="T110" s="973">
        <f>'Spiel 8 - Halbfinal'!P20</f>
        <v>0</v>
      </c>
      <c r="U110" s="973">
        <f>'Spiel 8 - Halbfinal'!AJ20</f>
        <v>0</v>
      </c>
      <c r="V110" s="1079">
        <f>'Spiel 8 - Halbfinal'!AP20</f>
        <v>1</v>
      </c>
      <c r="W110" s="1031"/>
      <c r="X110" s="973">
        <f>'Spiel 9 - Final'!C41</f>
        <v>0</v>
      </c>
      <c r="Y110" s="973">
        <f>'Spiel 9 - Final'!W41</f>
        <v>0</v>
      </c>
      <c r="Z110" s="973">
        <f>'Spiel 9 - Final'!AC41</f>
        <v>0</v>
      </c>
      <c r="AA110" s="1079">
        <f>'Spiel 9 - Final'!AW41</f>
        <v>1</v>
      </c>
      <c r="AB110" s="978">
        <f>'Spiel 9 - Final'!BJ41</f>
        <v>0</v>
      </c>
      <c r="AC110" s="1036">
        <f>SUM(B110:AB110)</f>
        <v>11</v>
      </c>
    </row>
    <row r="111" spans="1:29" hidden="1" outlineLevel="1">
      <c r="A111" s="971" t="s">
        <v>12</v>
      </c>
      <c r="B111" s="1039">
        <f>'Gruppe A'!S82</f>
        <v>0.5</v>
      </c>
      <c r="C111" s="1085"/>
      <c r="D111" s="1083"/>
      <c r="E111" s="1085">
        <f>'Gruppe A'!CC82</f>
        <v>0.5</v>
      </c>
      <c r="F111" s="1083"/>
      <c r="G111" s="1085"/>
      <c r="H111" s="1083">
        <f>'Gruppe A'!AY105</f>
        <v>0.5</v>
      </c>
      <c r="I111" s="1042">
        <f>'Gruppe A'!BE82</f>
        <v>0</v>
      </c>
      <c r="J111" s="1083">
        <f>'Gruppe A'!E82</f>
        <v>1</v>
      </c>
      <c r="K111" s="1085">
        <f>'Gruppe A'!AY17</f>
        <v>0.5</v>
      </c>
      <c r="L111" s="1083"/>
      <c r="M111" s="1085"/>
      <c r="N111" s="989">
        <f>'Spiel 7 - Viertelfinal'!J50</f>
        <v>0</v>
      </c>
      <c r="O111" s="989">
        <f>'Spiel 7 - Viertelfinal'!P50</f>
        <v>0</v>
      </c>
      <c r="P111" s="1084">
        <f>'Spiel 7 - Viertelfinal'!AJ50</f>
        <v>0.33333333333333331</v>
      </c>
      <c r="Q111" s="1084">
        <f>'Spiel 7 - Viertelfinal'!AP50</f>
        <v>0.5</v>
      </c>
      <c r="R111" s="1084"/>
      <c r="S111" s="1083">
        <f>'Spiel 8 - Halbfinal'!J21</f>
        <v>0.5</v>
      </c>
      <c r="T111" s="989">
        <f>'Spiel 8 - Halbfinal'!P21</f>
        <v>0</v>
      </c>
      <c r="U111" s="989">
        <f>'Spiel 8 - Halbfinal'!AJ21</f>
        <v>0</v>
      </c>
      <c r="V111" s="1084">
        <f>'Spiel 8 - Halbfinal'!AP21</f>
        <v>0.33333333333333331</v>
      </c>
      <c r="W111" s="1085"/>
      <c r="X111" s="989">
        <f>'Spiel 9 - Final'!C42</f>
        <v>0</v>
      </c>
      <c r="Y111" s="989">
        <f>'Spiel 9 - Final'!W42</f>
        <v>0</v>
      </c>
      <c r="Z111" s="989">
        <f>'Spiel 9 - Final'!AC42</f>
        <v>0</v>
      </c>
      <c r="AA111" s="1084">
        <f>'Spiel 9 - Final'!AW42</f>
        <v>0.5</v>
      </c>
      <c r="AB111" s="1042">
        <f>'Spiel 9 - Final'!BJ42</f>
        <v>0</v>
      </c>
      <c r="AC111" s="996">
        <f>AC110/AC109</f>
        <v>0.26829268292682928</v>
      </c>
    </row>
    <row r="112" spans="1:29" hidden="1" outlineLevel="1">
      <c r="A112" s="971" t="s">
        <v>5</v>
      </c>
      <c r="B112" s="1027">
        <f>'Gruppe A'!S83</f>
        <v>3.5</v>
      </c>
      <c r="C112" s="1050"/>
      <c r="D112" s="1047"/>
      <c r="E112" s="1050">
        <f>'Gruppe A'!CC83</f>
        <v>3</v>
      </c>
      <c r="F112" s="1124"/>
      <c r="G112" s="1049"/>
      <c r="H112" s="1047">
        <f>'Gruppe A'!AY106</f>
        <v>6</v>
      </c>
      <c r="I112" s="1048">
        <f>'Gruppe A'!BE83</f>
        <v>11</v>
      </c>
      <c r="J112" s="1045">
        <f>'Gruppe A'!E83</f>
        <v>0</v>
      </c>
      <c r="K112" s="1046">
        <f>'Gruppe A'!AY18</f>
        <v>3</v>
      </c>
      <c r="L112" s="1047"/>
      <c r="M112" s="1050"/>
      <c r="N112" s="1088">
        <f>'Spiel 7 - Viertelfinal'!J51</f>
        <v>4.666666666666667</v>
      </c>
      <c r="O112" s="1088">
        <f>'Spiel 7 - Viertelfinal'!P51</f>
        <v>6.5</v>
      </c>
      <c r="P112" s="1088">
        <f>'Spiel 7 - Viertelfinal'!AJ51</f>
        <v>4.333333333333333</v>
      </c>
      <c r="Q112" s="1088">
        <f>'Spiel 7 - Viertelfinal'!AP51</f>
        <v>3</v>
      </c>
      <c r="R112" s="1088"/>
      <c r="S112" s="1045">
        <f>'Spiel 8 - Halbfinal'!J22</f>
        <v>3</v>
      </c>
      <c r="T112" s="1088">
        <f>'Spiel 8 - Halbfinal'!P22</f>
        <v>5.5</v>
      </c>
      <c r="U112" s="1088">
        <f>'Spiel 8 - Halbfinal'!AJ22</f>
        <v>4.333333333333333</v>
      </c>
      <c r="V112" s="1088">
        <f>'Spiel 8 - Halbfinal'!AP22</f>
        <v>2.3333333333333335</v>
      </c>
      <c r="W112" s="1050"/>
      <c r="X112" s="1088">
        <f>'Spiel 9 - Final'!C43</f>
        <v>6</v>
      </c>
      <c r="Y112" s="1088">
        <f>'Spiel 9 - Final'!W43</f>
        <v>8</v>
      </c>
      <c r="Z112" s="1088">
        <f>'Spiel 9 - Final'!AC43</f>
        <v>7.5</v>
      </c>
      <c r="AA112" s="1088">
        <f>'Spiel 9 - Final'!AW43</f>
        <v>3.5</v>
      </c>
      <c r="AB112" s="1049">
        <f>'Spiel 9 - Final'!BJ43</f>
        <v>8</v>
      </c>
      <c r="AC112" s="1064">
        <f>AC108/AC109</f>
        <v>4.6585365853658534</v>
      </c>
    </row>
    <row r="113" spans="1:29" hidden="1" outlineLevel="1">
      <c r="A113" s="1003" t="s">
        <v>8</v>
      </c>
      <c r="B113" s="1138">
        <f>'Gruppe A'!S84</f>
        <v>7</v>
      </c>
      <c r="C113" s="1058"/>
      <c r="D113" s="1055"/>
      <c r="E113" s="1058">
        <f>'Gruppe A'!CC84</f>
        <v>6</v>
      </c>
      <c r="F113" s="1091"/>
      <c r="G113" s="1057"/>
      <c r="H113" s="1055">
        <f>'Gruppe A'!AY107</f>
        <v>12</v>
      </c>
      <c r="I113" s="1056">
        <f>'Gruppe A'!BE84</f>
        <v>11</v>
      </c>
      <c r="J113" s="1053">
        <f>'Gruppe A'!E84</f>
        <v>0</v>
      </c>
      <c r="K113" s="1054">
        <f>'Gruppe A'!AY19</f>
        <v>6</v>
      </c>
      <c r="L113" s="1055"/>
      <c r="M113" s="1058"/>
      <c r="N113" s="1091">
        <f>'Spiel 7 - Viertelfinal'!J52</f>
        <v>4.666666666666667</v>
      </c>
      <c r="O113" s="1091">
        <f>'Spiel 7 - Viertelfinal'!P52</f>
        <v>6.5</v>
      </c>
      <c r="P113" s="1091">
        <f>'Spiel 7 - Viertelfinal'!AJ52</f>
        <v>6.5</v>
      </c>
      <c r="Q113" s="1091">
        <f>'Spiel 7 - Viertelfinal'!AP52</f>
        <v>6</v>
      </c>
      <c r="R113" s="1091"/>
      <c r="S113" s="1053">
        <f>'Spiel 8 - Halbfinal'!J23</f>
        <v>6</v>
      </c>
      <c r="T113" s="1091">
        <f>'Spiel 8 - Halbfinal'!P23</f>
        <v>5.5</v>
      </c>
      <c r="U113" s="1091">
        <f>'Spiel 8 - Halbfinal'!AJ23</f>
        <v>4.333333333333333</v>
      </c>
      <c r="V113" s="1091">
        <f>'Spiel 8 - Halbfinal'!AP23</f>
        <v>3.5</v>
      </c>
      <c r="W113" s="1058"/>
      <c r="X113" s="1091">
        <f>'Spiel 9 - Final'!C44</f>
        <v>6</v>
      </c>
      <c r="Y113" s="1091">
        <f>'Spiel 9 - Final'!W44</f>
        <v>8</v>
      </c>
      <c r="Z113" s="1091">
        <f>'Spiel 9 - Final'!AC44</f>
        <v>7.5</v>
      </c>
      <c r="AA113" s="1091">
        <f>'Spiel 9 - Final'!AW44</f>
        <v>7</v>
      </c>
      <c r="AB113" s="1057">
        <f>'Spiel 9 - Final'!BJ44</f>
        <v>8</v>
      </c>
      <c r="AC113" s="1007">
        <f>AC108/(AC109-AC110)</f>
        <v>6.3666666666666663</v>
      </c>
    </row>
    <row r="114" spans="1:29" ht="3" hidden="1" customHeight="1" outlineLevel="1">
      <c r="B114" s="1024"/>
      <c r="C114" s="1025"/>
      <c r="D114" s="1113"/>
      <c r="E114" s="1114"/>
      <c r="F114" s="1024"/>
      <c r="G114" s="1025"/>
      <c r="H114" s="1024"/>
      <c r="I114" s="1025"/>
      <c r="J114" s="1024"/>
      <c r="K114" s="1025"/>
      <c r="L114" s="1059"/>
      <c r="M114" s="1061"/>
      <c r="N114" s="1060"/>
      <c r="O114" s="1060"/>
      <c r="P114" s="1060"/>
      <c r="Q114" s="1060"/>
      <c r="R114" s="1060"/>
      <c r="S114" s="1059"/>
      <c r="T114" s="1060"/>
      <c r="U114" s="1060"/>
      <c r="V114" s="1060"/>
      <c r="W114" s="1061"/>
      <c r="X114" s="1060"/>
      <c r="Y114" s="1060"/>
      <c r="Z114" s="1060"/>
      <c r="AA114" s="1060"/>
      <c r="AB114" s="1061"/>
      <c r="AC114" s="1062"/>
    </row>
    <row r="115" spans="1:29" hidden="1" outlineLevel="1">
      <c r="A115" s="1020" t="s">
        <v>101</v>
      </c>
      <c r="B115" s="1021"/>
      <c r="C115" s="1022"/>
      <c r="D115" s="1021"/>
      <c r="E115" s="1022"/>
      <c r="F115" s="1021"/>
      <c r="G115" s="1022"/>
      <c r="H115" s="1021"/>
      <c r="I115" s="1022"/>
      <c r="J115" s="1021"/>
      <c r="K115" s="1022"/>
      <c r="L115" s="1024"/>
      <c r="M115" s="1025"/>
      <c r="N115" s="434"/>
      <c r="O115" s="434"/>
      <c r="P115" s="434"/>
      <c r="Q115" s="434"/>
      <c r="R115" s="434"/>
      <c r="S115" s="1024"/>
      <c r="T115" s="434"/>
      <c r="U115" s="434"/>
      <c r="V115" s="434"/>
      <c r="W115" s="1025"/>
      <c r="X115" s="434"/>
      <c r="Y115" s="434"/>
      <c r="Z115" s="434"/>
      <c r="AA115" s="434"/>
      <c r="AB115" s="1025"/>
      <c r="AC115" s="1026"/>
    </row>
    <row r="116" spans="1:29" hidden="1" outlineLevel="1">
      <c r="A116" s="971" t="s">
        <v>3</v>
      </c>
      <c r="B116" s="1027"/>
      <c r="C116" s="113">
        <f>'Gruppe A'!AW35</f>
        <v>5</v>
      </c>
      <c r="D116" s="1028">
        <f>'Gruppe A'!AX148</f>
        <v>5</v>
      </c>
      <c r="E116" s="1029"/>
      <c r="F116" s="113">
        <f>'Gruppe A'!AE79</f>
        <v>9</v>
      </c>
      <c r="G116" s="1031">
        <f>'Gruppe A'!AY60</f>
        <v>3</v>
      </c>
      <c r="H116" s="1027"/>
      <c r="I116" s="1029"/>
      <c r="J116" s="1028"/>
      <c r="K116" s="1079"/>
      <c r="L116" s="1027">
        <f>'Gruppe A'!AY124</f>
        <v>13</v>
      </c>
      <c r="M116" s="1031">
        <f>'Gruppe A'!BR79</f>
        <v>5</v>
      </c>
      <c r="N116" s="1079">
        <f>'Spiel 7 - Viertelfinal'!K47</f>
        <v>3</v>
      </c>
      <c r="O116" s="1079">
        <f>'Spiel 7 - Viertelfinal'!Q47</f>
        <v>4</v>
      </c>
      <c r="P116" s="1079"/>
      <c r="Q116" s="1079"/>
      <c r="R116" s="1079"/>
      <c r="S116" s="1027">
        <f>'Spiel 8 - Halbfinal'!K18</f>
        <v>15</v>
      </c>
      <c r="T116" s="1079">
        <f>'Spiel 8 - Halbfinal'!Q18</f>
        <v>17</v>
      </c>
      <c r="U116" s="1079">
        <f>'Spiel 8 - Halbfinal'!AK18</f>
        <v>20</v>
      </c>
      <c r="V116" s="1079">
        <f>'Spiel 8 - Halbfinal'!AQ18</f>
        <v>21</v>
      </c>
      <c r="W116" s="1031"/>
      <c r="X116" s="1079">
        <f>'Spiel 9 - Final'!D39</f>
        <v>0</v>
      </c>
      <c r="Y116" s="1079">
        <f>'Spiel 9 - Final'!X39</f>
        <v>5</v>
      </c>
      <c r="Z116" s="1079">
        <f>'Spiel 9 - Final'!AD39</f>
        <v>11</v>
      </c>
      <c r="AA116" s="1079">
        <f>'Spiel 9 - Final'!AX39</f>
        <v>18</v>
      </c>
      <c r="AB116" s="1030">
        <f>'Spiel 9 - Final'!BK39</f>
        <v>7</v>
      </c>
      <c r="AC116" s="1036">
        <f>SUM(B116:AB116)</f>
        <v>161</v>
      </c>
    </row>
    <row r="117" spans="1:29" hidden="1" outlineLevel="1">
      <c r="A117" s="971" t="s">
        <v>4</v>
      </c>
      <c r="B117" s="1028"/>
      <c r="C117" s="113">
        <f>'Gruppe A'!AW36</f>
        <v>3</v>
      </c>
      <c r="D117" s="1028">
        <f>'Gruppe A'!AX149</f>
        <v>3</v>
      </c>
      <c r="E117" s="1029"/>
      <c r="F117" s="1028">
        <f>'Gruppe A'!AE80</f>
        <v>1</v>
      </c>
      <c r="G117" s="1029">
        <f>'Gruppe A'!AY61</f>
        <v>1</v>
      </c>
      <c r="H117" s="1028"/>
      <c r="I117" s="1029"/>
      <c r="J117" s="1027"/>
      <c r="K117" s="113"/>
      <c r="L117" s="1028">
        <f>'Gruppe A'!AY125</f>
        <v>2</v>
      </c>
      <c r="M117" s="1031">
        <f>'Gruppe A'!BR80</f>
        <v>2</v>
      </c>
      <c r="N117" s="1079">
        <f>'Spiel 7 - Viertelfinal'!K48</f>
        <v>2</v>
      </c>
      <c r="O117" s="1079">
        <f>'Spiel 7 - Viertelfinal'!Q48</f>
        <v>2</v>
      </c>
      <c r="P117" s="1079"/>
      <c r="Q117" s="1079"/>
      <c r="R117" s="1079"/>
      <c r="S117" s="1027">
        <f>'Spiel 8 - Halbfinal'!K19</f>
        <v>2</v>
      </c>
      <c r="T117" s="1079">
        <f>'Spiel 8 - Halbfinal'!Q19</f>
        <v>2</v>
      </c>
      <c r="U117" s="1079">
        <f>'Spiel 8 - Halbfinal'!AK19</f>
        <v>3</v>
      </c>
      <c r="V117" s="1079">
        <f>'Spiel 8 - Halbfinal'!AQ19</f>
        <v>3</v>
      </c>
      <c r="W117" s="1031"/>
      <c r="X117" s="1079">
        <f>'Spiel 9 - Final'!D40</f>
        <v>1</v>
      </c>
      <c r="Y117" s="1079">
        <f>'Spiel 9 - Final'!X40</f>
        <v>2</v>
      </c>
      <c r="Z117" s="1079">
        <f>'Spiel 9 - Final'!AD40</f>
        <v>2</v>
      </c>
      <c r="AA117" s="1079">
        <f>'Spiel 9 - Final'!AX40</f>
        <v>2</v>
      </c>
      <c r="AB117" s="1030">
        <f>'Spiel 9 - Final'!BK40</f>
        <v>2</v>
      </c>
      <c r="AC117" s="985">
        <f>SUM(B117:AB117)</f>
        <v>35</v>
      </c>
    </row>
    <row r="118" spans="1:29" hidden="1" outlineLevel="1">
      <c r="A118" s="971" t="s">
        <v>6</v>
      </c>
      <c r="B118" s="1028"/>
      <c r="C118" s="113">
        <f>'Gruppe A'!AW37</f>
        <v>1</v>
      </c>
      <c r="D118" s="1028">
        <f>'Gruppe A'!AX150</f>
        <v>1</v>
      </c>
      <c r="E118" s="1029"/>
      <c r="F118" s="972">
        <f>'Gruppe A'!AE81</f>
        <v>0</v>
      </c>
      <c r="G118" s="978">
        <f>'Gruppe A'!AY62</f>
        <v>0</v>
      </c>
      <c r="H118" s="1028"/>
      <c r="I118" s="1029"/>
      <c r="J118" s="1028"/>
      <c r="K118" s="1029"/>
      <c r="L118" s="972">
        <f>'Gruppe A'!AY126</f>
        <v>0</v>
      </c>
      <c r="M118" s="978">
        <f>'Gruppe A'!BR81</f>
        <v>0</v>
      </c>
      <c r="N118" s="1079">
        <f>'Spiel 7 - Viertelfinal'!K49</f>
        <v>1</v>
      </c>
      <c r="O118" s="1079">
        <f>'Spiel 7 - Viertelfinal'!Q49</f>
        <v>1</v>
      </c>
      <c r="P118" s="1079"/>
      <c r="Q118" s="1079"/>
      <c r="R118" s="1079"/>
      <c r="S118" s="972">
        <f>'Spiel 8 - Halbfinal'!K20</f>
        <v>0</v>
      </c>
      <c r="T118" s="973">
        <f>'Spiel 8 - Halbfinal'!Q20</f>
        <v>0</v>
      </c>
      <c r="U118" s="973">
        <f>'Spiel 8 - Halbfinal'!AK20</f>
        <v>0</v>
      </c>
      <c r="V118" s="973">
        <f>'Spiel 8 - Halbfinal'!AQ20</f>
        <v>0</v>
      </c>
      <c r="W118" s="1031"/>
      <c r="X118" s="1079">
        <f>'Spiel 9 - Final'!D41</f>
        <v>1</v>
      </c>
      <c r="Y118" s="973">
        <f>'Spiel 9 - Final'!X41</f>
        <v>0</v>
      </c>
      <c r="Z118" s="973">
        <f>'Spiel 9 - Final'!AD41</f>
        <v>0</v>
      </c>
      <c r="AA118" s="973">
        <f>'Spiel 9 - Final'!AX41</f>
        <v>0</v>
      </c>
      <c r="AB118" s="1030">
        <f>'Spiel 9 - Final'!BK41</f>
        <v>1</v>
      </c>
      <c r="AC118" s="987">
        <f>SUM(B118:AB118)</f>
        <v>6</v>
      </c>
    </row>
    <row r="119" spans="1:29" hidden="1" outlineLevel="1">
      <c r="A119" s="971" t="s">
        <v>12</v>
      </c>
      <c r="B119" s="1083"/>
      <c r="C119" s="1044">
        <f>'Gruppe A'!AW38</f>
        <v>0.33333333333333331</v>
      </c>
      <c r="D119" s="1083">
        <f>'Gruppe A'!AX151</f>
        <v>0.33333333333333331</v>
      </c>
      <c r="E119" s="1085"/>
      <c r="F119" s="1043">
        <f>'Gruppe A'!AE82</f>
        <v>0</v>
      </c>
      <c r="G119" s="1042">
        <f>'Gruppe A'!AY63</f>
        <v>0</v>
      </c>
      <c r="H119" s="1083"/>
      <c r="I119" s="1085"/>
      <c r="J119" s="1083"/>
      <c r="K119" s="1085"/>
      <c r="L119" s="1043">
        <f>'Gruppe A'!AY127</f>
        <v>0</v>
      </c>
      <c r="M119" s="1042">
        <f>'Gruppe A'!BR82</f>
        <v>0</v>
      </c>
      <c r="N119" s="1084">
        <f>'Spiel 7 - Viertelfinal'!K50</f>
        <v>0.5</v>
      </c>
      <c r="O119" s="1084">
        <f>'Spiel 7 - Viertelfinal'!Q50</f>
        <v>0.5</v>
      </c>
      <c r="P119" s="1084"/>
      <c r="Q119" s="1084"/>
      <c r="R119" s="1084"/>
      <c r="S119" s="1043">
        <f>'Spiel 8 - Halbfinal'!K21</f>
        <v>0</v>
      </c>
      <c r="T119" s="989">
        <f>'Spiel 8 - Halbfinal'!Q21</f>
        <v>0</v>
      </c>
      <c r="U119" s="989">
        <f>'Spiel 8 - Halbfinal'!AK21</f>
        <v>0</v>
      </c>
      <c r="V119" s="989">
        <f>'Spiel 8 - Halbfinal'!AQ21</f>
        <v>0</v>
      </c>
      <c r="W119" s="1085"/>
      <c r="X119" s="1084">
        <f>'Spiel 9 - Final'!D42</f>
        <v>1</v>
      </c>
      <c r="Y119" s="989">
        <f>'Spiel 9 - Final'!X42</f>
        <v>0</v>
      </c>
      <c r="Z119" s="989">
        <f>'Spiel 9 - Final'!AD42</f>
        <v>0</v>
      </c>
      <c r="AA119" s="989">
        <f>'Spiel 9 - Final'!AX42</f>
        <v>0</v>
      </c>
      <c r="AB119" s="1086">
        <f>'Spiel 9 - Final'!BK42</f>
        <v>0.5</v>
      </c>
      <c r="AC119" s="996">
        <f>AC118/AC117</f>
        <v>0.17142857142857143</v>
      </c>
    </row>
    <row r="120" spans="1:29" hidden="1" outlineLevel="1">
      <c r="A120" s="971" t="s">
        <v>5</v>
      </c>
      <c r="B120" s="1045"/>
      <c r="C120" s="113">
        <f>'Gruppe A'!AW39</f>
        <v>1.6666666666666667</v>
      </c>
      <c r="D120" s="1047">
        <f>'Gruppe A'!AX152</f>
        <v>1.6666666666666667</v>
      </c>
      <c r="E120" s="1050"/>
      <c r="F120" s="1124">
        <f>'Gruppe A'!AE83</f>
        <v>9</v>
      </c>
      <c r="G120" s="1049">
        <f>'Gruppe A'!AY64</f>
        <v>3</v>
      </c>
      <c r="H120" s="1047"/>
      <c r="I120" s="1048"/>
      <c r="J120" s="1045"/>
      <c r="K120" s="1046"/>
      <c r="L120" s="1047">
        <f>'Gruppe A'!AY128</f>
        <v>6.5</v>
      </c>
      <c r="M120" s="1050">
        <f>'Gruppe A'!BR83</f>
        <v>2.5</v>
      </c>
      <c r="N120" s="1088">
        <f>'Spiel 7 - Viertelfinal'!K51</f>
        <v>1.5</v>
      </c>
      <c r="O120" s="1088">
        <f>'Spiel 7 - Viertelfinal'!Q51</f>
        <v>2</v>
      </c>
      <c r="P120" s="1088"/>
      <c r="Q120" s="1088"/>
      <c r="R120" s="1088"/>
      <c r="S120" s="1045">
        <f>'Spiel 8 - Halbfinal'!K22</f>
        <v>7.5</v>
      </c>
      <c r="T120" s="1088">
        <f>'Spiel 8 - Halbfinal'!Q22</f>
        <v>8.5</v>
      </c>
      <c r="U120" s="1088">
        <f>'Spiel 8 - Halbfinal'!AK22</f>
        <v>6.666666666666667</v>
      </c>
      <c r="V120" s="1088">
        <f>'Spiel 8 - Halbfinal'!AQ22</f>
        <v>7</v>
      </c>
      <c r="W120" s="1050"/>
      <c r="X120" s="1088">
        <f>'Spiel 9 - Final'!D43</f>
        <v>0</v>
      </c>
      <c r="Y120" s="1088">
        <f>'Spiel 9 - Final'!X43</f>
        <v>2.5</v>
      </c>
      <c r="Z120" s="1088">
        <f>'Spiel 9 - Final'!AD43</f>
        <v>5.5</v>
      </c>
      <c r="AA120" s="1088">
        <f>'Spiel 9 - Final'!AX43</f>
        <v>9</v>
      </c>
      <c r="AB120" s="1049">
        <f>'Spiel 9 - Final'!BK43</f>
        <v>3.5</v>
      </c>
      <c r="AC120" s="1064">
        <f>AC116/AC117</f>
        <v>4.5999999999999996</v>
      </c>
    </row>
    <row r="121" spans="1:29" hidden="1" outlineLevel="1">
      <c r="A121" s="1003" t="s">
        <v>8</v>
      </c>
      <c r="B121" s="1045"/>
      <c r="C121" s="113">
        <f>'Gruppe A'!AW40</f>
        <v>2.5</v>
      </c>
      <c r="D121" s="1055">
        <f>'Gruppe A'!AX153</f>
        <v>2.5</v>
      </c>
      <c r="E121" s="1058"/>
      <c r="F121" s="1091">
        <f>'Gruppe A'!AE84</f>
        <v>9</v>
      </c>
      <c r="G121" s="1057">
        <f>'Gruppe A'!AY65</f>
        <v>3</v>
      </c>
      <c r="H121" s="1055"/>
      <c r="I121" s="1056"/>
      <c r="J121" s="1053"/>
      <c r="K121" s="1054"/>
      <c r="L121" s="1055">
        <f>'Gruppe A'!AY129</f>
        <v>6.5</v>
      </c>
      <c r="M121" s="1058">
        <f>'Gruppe A'!BR84</f>
        <v>2.5</v>
      </c>
      <c r="N121" s="1091">
        <f>'Spiel 7 - Viertelfinal'!K52</f>
        <v>3</v>
      </c>
      <c r="O121" s="1091">
        <f>'Spiel 7 - Viertelfinal'!Q52</f>
        <v>4</v>
      </c>
      <c r="P121" s="1091"/>
      <c r="Q121" s="1091"/>
      <c r="R121" s="1091"/>
      <c r="S121" s="1053">
        <f>'Spiel 8 - Halbfinal'!K23</f>
        <v>7.5</v>
      </c>
      <c r="T121" s="1091">
        <f>'Spiel 8 - Halbfinal'!Q23</f>
        <v>8.5</v>
      </c>
      <c r="U121" s="1091">
        <f>'Spiel 8 - Halbfinal'!AK23</f>
        <v>6.666666666666667</v>
      </c>
      <c r="V121" s="1091">
        <f>'Spiel 8 - Halbfinal'!AQ23</f>
        <v>7</v>
      </c>
      <c r="W121" s="1058"/>
      <c r="X121" s="1091">
        <f>'Spiel 9 - Final'!D44</f>
        <v>0</v>
      </c>
      <c r="Y121" s="1091">
        <f>'Spiel 9 - Final'!X44</f>
        <v>2.5</v>
      </c>
      <c r="Z121" s="1091">
        <f>'Spiel 9 - Final'!AD44</f>
        <v>5.5</v>
      </c>
      <c r="AA121" s="1091">
        <f>'Spiel 9 - Final'!AX44</f>
        <v>9</v>
      </c>
      <c r="AB121" s="1057">
        <f>'Spiel 9 - Final'!BK44</f>
        <v>7</v>
      </c>
      <c r="AC121" s="1007">
        <f>AC116/(AC117-AC118)</f>
        <v>5.5517241379310347</v>
      </c>
    </row>
    <row r="122" spans="1:29" ht="3" hidden="1" customHeight="1" outlineLevel="1">
      <c r="B122" s="114"/>
      <c r="C122" s="123"/>
      <c r="D122" s="1113"/>
      <c r="E122" s="1114"/>
      <c r="F122" s="1024"/>
      <c r="G122" s="1025"/>
      <c r="H122" s="1024"/>
      <c r="I122" s="1025"/>
      <c r="J122" s="1024"/>
      <c r="K122" s="1025"/>
      <c r="L122" s="1059"/>
      <c r="M122" s="1061"/>
      <c r="N122" s="1060"/>
      <c r="O122" s="1060"/>
      <c r="P122" s="1060"/>
      <c r="Q122" s="1060"/>
      <c r="R122" s="1060"/>
      <c r="S122" s="1059"/>
      <c r="T122" s="1060"/>
      <c r="U122" s="1060"/>
      <c r="V122" s="1060"/>
      <c r="W122" s="1061"/>
      <c r="X122" s="1060"/>
      <c r="Y122" s="1060"/>
      <c r="Z122" s="1060"/>
      <c r="AA122" s="1060"/>
      <c r="AB122" s="1061"/>
      <c r="AC122" s="1062"/>
    </row>
    <row r="123" spans="1:29" hidden="1" outlineLevel="1">
      <c r="A123" s="1020" t="s">
        <v>102</v>
      </c>
      <c r="B123" s="1021"/>
      <c r="C123" s="1023"/>
      <c r="D123" s="1021"/>
      <c r="E123" s="1022"/>
      <c r="F123" s="1021"/>
      <c r="G123" s="1022"/>
      <c r="H123" s="1021"/>
      <c r="I123" s="1022"/>
      <c r="J123" s="1021"/>
      <c r="K123" s="1022"/>
      <c r="L123" s="1024"/>
      <c r="M123" s="1025"/>
      <c r="N123" s="434"/>
      <c r="O123" s="434"/>
      <c r="P123" s="434"/>
      <c r="Q123" s="434"/>
      <c r="R123" s="434"/>
      <c r="S123" s="1024"/>
      <c r="T123" s="434"/>
      <c r="U123" s="434"/>
      <c r="V123" s="434"/>
      <c r="W123" s="1025"/>
      <c r="X123" s="434"/>
      <c r="Y123" s="434"/>
      <c r="Z123" s="434"/>
      <c r="AA123" s="434"/>
      <c r="AB123" s="1025"/>
      <c r="AC123" s="1026"/>
    </row>
    <row r="124" spans="1:29" hidden="1" outlineLevel="1">
      <c r="A124" s="971" t="s">
        <v>3</v>
      </c>
      <c r="B124" s="1027">
        <f>'Gruppe A'!R79</f>
        <v>9</v>
      </c>
      <c r="C124" s="1029">
        <f>'Gruppe A'!AZ35</f>
        <v>4</v>
      </c>
      <c r="D124" s="1028"/>
      <c r="E124" s="1029">
        <f>'Gruppe A'!CF79</f>
        <v>15</v>
      </c>
      <c r="F124" s="113">
        <f>'Gruppe A'!AF79</f>
        <v>12</v>
      </c>
      <c r="G124" s="1031">
        <f>'Gruppe A'!AZ60</f>
        <v>11</v>
      </c>
      <c r="H124" s="1027">
        <f>'Gruppe A'!AZ102</f>
        <v>5</v>
      </c>
      <c r="I124" s="1029">
        <f>'Gruppe A'!BF79</f>
        <v>9</v>
      </c>
      <c r="J124" s="1028">
        <f>'Gruppe A'!F79</f>
        <v>9</v>
      </c>
      <c r="K124" s="1079">
        <f>'Gruppe A'!AZ14</f>
        <v>2</v>
      </c>
      <c r="L124" s="1027">
        <f>'Gruppe A'!AZ124</f>
        <v>3</v>
      </c>
      <c r="M124" s="1031">
        <f>'Gruppe A'!BS79</f>
        <v>15</v>
      </c>
      <c r="N124" s="1079">
        <f>'Spiel 7 - Viertelfinal'!L47</f>
        <v>6</v>
      </c>
      <c r="O124" s="1079">
        <f>'Spiel 7 - Viertelfinal'!R47</f>
        <v>11</v>
      </c>
      <c r="P124" s="1079"/>
      <c r="Q124" s="1079"/>
      <c r="R124" s="1079"/>
      <c r="S124" s="1027">
        <f>'Spiel 8 - Halbfinal'!L18</f>
        <v>12</v>
      </c>
      <c r="T124" s="1079">
        <f>'Spiel 8 - Halbfinal'!R18</f>
        <v>12</v>
      </c>
      <c r="U124" s="1079">
        <f>'Spiel 8 - Halbfinal'!AL18</f>
        <v>2</v>
      </c>
      <c r="V124" s="1079">
        <f>'Spiel 8 - Halbfinal'!AR18</f>
        <v>3</v>
      </c>
      <c r="W124" s="1031"/>
      <c r="X124" s="1079">
        <f>'Spiel 9 - Final'!E39</f>
        <v>6</v>
      </c>
      <c r="Y124" s="1079">
        <f>'Spiel 9 - Final'!Y39</f>
        <v>14</v>
      </c>
      <c r="Z124" s="1079">
        <f>'Spiel 9 - Final'!AE39</f>
        <v>7</v>
      </c>
      <c r="AA124" s="1079">
        <f>'Spiel 9 - Final'!AY39</f>
        <v>9</v>
      </c>
      <c r="AB124" s="1030">
        <f>'Spiel 9 - Final'!BL39</f>
        <v>9</v>
      </c>
      <c r="AC124" s="987">
        <f>SUM(B124:AB124)</f>
        <v>185</v>
      </c>
    </row>
    <row r="125" spans="1:29" hidden="1" outlineLevel="1">
      <c r="A125" s="971" t="s">
        <v>4</v>
      </c>
      <c r="B125" s="1027">
        <f>'Gruppe A'!R80</f>
        <v>2</v>
      </c>
      <c r="C125" s="1029">
        <f>'Gruppe A'!AZ36</f>
        <v>2</v>
      </c>
      <c r="D125" s="1028"/>
      <c r="E125" s="1029">
        <f>'Gruppe A'!CF80</f>
        <v>2</v>
      </c>
      <c r="F125" s="1028">
        <f>'Gruppe A'!AF80</f>
        <v>1</v>
      </c>
      <c r="G125" s="1029">
        <f>'Gruppe A'!AZ61</f>
        <v>1</v>
      </c>
      <c r="H125" s="1028">
        <f>'Gruppe A'!AZ103</f>
        <v>2</v>
      </c>
      <c r="I125" s="1029">
        <f>'Gruppe A'!BF80</f>
        <v>1</v>
      </c>
      <c r="J125" s="1027">
        <f>'Gruppe A'!F80</f>
        <v>1</v>
      </c>
      <c r="K125" s="113">
        <f>'Gruppe A'!AZ15</f>
        <v>1</v>
      </c>
      <c r="L125" s="1028">
        <f>'Gruppe A'!AZ125</f>
        <v>1</v>
      </c>
      <c r="M125" s="1031">
        <f>'Gruppe A'!BS80</f>
        <v>2</v>
      </c>
      <c r="N125" s="1079">
        <f>'Spiel 7 - Viertelfinal'!L48</f>
        <v>2</v>
      </c>
      <c r="O125" s="1079">
        <f>'Spiel 7 - Viertelfinal'!R48</f>
        <v>2</v>
      </c>
      <c r="P125" s="1079"/>
      <c r="Q125" s="1079"/>
      <c r="R125" s="1079"/>
      <c r="S125" s="1027">
        <f>'Spiel 8 - Halbfinal'!L19</f>
        <v>2</v>
      </c>
      <c r="T125" s="1079">
        <f>'Spiel 8 - Halbfinal'!R19</f>
        <v>1</v>
      </c>
      <c r="U125" s="1079">
        <f>'Spiel 8 - Halbfinal'!AL19</f>
        <v>2</v>
      </c>
      <c r="V125" s="1079">
        <f>'Spiel 8 - Halbfinal'!AR19</f>
        <v>2</v>
      </c>
      <c r="W125" s="1031"/>
      <c r="X125" s="1079">
        <f>'Spiel 9 - Final'!E40</f>
        <v>1</v>
      </c>
      <c r="Y125" s="1079">
        <f>'Spiel 9 - Final'!Y40</f>
        <v>2</v>
      </c>
      <c r="Z125" s="1079">
        <f>'Spiel 9 - Final'!AE40</f>
        <v>1</v>
      </c>
      <c r="AA125" s="1079">
        <f>'Spiel 9 - Final'!AY40</f>
        <v>1</v>
      </c>
      <c r="AB125" s="1030">
        <f>'Spiel 9 - Final'!BL40</f>
        <v>1</v>
      </c>
      <c r="AC125" s="985">
        <f>SUM(B125:AB125)</f>
        <v>33</v>
      </c>
    </row>
    <row r="126" spans="1:29" hidden="1" outlineLevel="1">
      <c r="A126" s="971" t="s">
        <v>6</v>
      </c>
      <c r="B126" s="972">
        <f>'Gruppe A'!R81</f>
        <v>0</v>
      </c>
      <c r="C126" s="1029">
        <f>'Gruppe A'!AZ37</f>
        <v>1</v>
      </c>
      <c r="D126" s="1028"/>
      <c r="E126" s="978">
        <f>'Gruppe A'!CF81</f>
        <v>0</v>
      </c>
      <c r="F126" s="972">
        <f>'Gruppe A'!AF81</f>
        <v>0</v>
      </c>
      <c r="G126" s="978">
        <f>'Gruppe A'!AZ62</f>
        <v>0</v>
      </c>
      <c r="H126" s="972">
        <f>'Gruppe A'!AZ104</f>
        <v>0</v>
      </c>
      <c r="I126" s="978">
        <f>'Gruppe A'!BF81</f>
        <v>0</v>
      </c>
      <c r="J126" s="972">
        <f>'Gruppe A'!F81</f>
        <v>0</v>
      </c>
      <c r="K126" s="978">
        <f>'Gruppe A'!AZ16</f>
        <v>0</v>
      </c>
      <c r="L126" s="972">
        <f>'Gruppe A'!AZ126</f>
        <v>0</v>
      </c>
      <c r="M126" s="978">
        <f>'Gruppe A'!BS81</f>
        <v>0</v>
      </c>
      <c r="N126" s="1079">
        <f>'Spiel 7 - Viertelfinal'!L49</f>
        <v>1</v>
      </c>
      <c r="O126" s="973">
        <f>'Spiel 7 - Viertelfinal'!R49</f>
        <v>0</v>
      </c>
      <c r="P126" s="1079"/>
      <c r="Q126" s="1079"/>
      <c r="R126" s="1079"/>
      <c r="S126" s="972">
        <f>'Spiel 8 - Halbfinal'!L20</f>
        <v>0</v>
      </c>
      <c r="T126" s="973">
        <f>'Spiel 8 - Halbfinal'!R20</f>
        <v>0</v>
      </c>
      <c r="U126" s="1079">
        <f>'Spiel 8 - Halbfinal'!AL20</f>
        <v>1</v>
      </c>
      <c r="V126" s="1079">
        <f>'Spiel 8 - Halbfinal'!AR20</f>
        <v>1</v>
      </c>
      <c r="W126" s="1031"/>
      <c r="X126" s="973">
        <f>'Spiel 9 - Final'!E41</f>
        <v>0</v>
      </c>
      <c r="Y126" s="973">
        <f>'Spiel 9 - Final'!Y41</f>
        <v>0</v>
      </c>
      <c r="Z126" s="973">
        <f>'Spiel 9 - Final'!AE41</f>
        <v>0</v>
      </c>
      <c r="AA126" s="973">
        <f>'Spiel 9 - Final'!AY41</f>
        <v>0</v>
      </c>
      <c r="AB126" s="978">
        <f>'Spiel 9 - Final'!BL41</f>
        <v>0</v>
      </c>
      <c r="AC126" s="979">
        <f>SUM(B126:AB126)</f>
        <v>4</v>
      </c>
    </row>
    <row r="127" spans="1:29" hidden="1" outlineLevel="1">
      <c r="A127" s="971" t="s">
        <v>12</v>
      </c>
      <c r="B127" s="1043">
        <f>'Gruppe A'!R82</f>
        <v>0</v>
      </c>
      <c r="C127" s="1041">
        <f>'Gruppe A'!AZ38</f>
        <v>0.5</v>
      </c>
      <c r="D127" s="1083"/>
      <c r="E127" s="1042">
        <f>'Gruppe A'!CF82</f>
        <v>0</v>
      </c>
      <c r="F127" s="1043">
        <f>'Gruppe A'!AF82</f>
        <v>0</v>
      </c>
      <c r="G127" s="1042">
        <f>'Gruppe A'!AZ63</f>
        <v>0</v>
      </c>
      <c r="H127" s="1043">
        <f>'Gruppe A'!AZ105</f>
        <v>0</v>
      </c>
      <c r="I127" s="1042">
        <f>'Gruppe A'!BF82</f>
        <v>0</v>
      </c>
      <c r="J127" s="1043">
        <f>'Gruppe A'!F82</f>
        <v>0</v>
      </c>
      <c r="K127" s="1042">
        <f>'Gruppe A'!AZ17</f>
        <v>0</v>
      </c>
      <c r="L127" s="1043">
        <f>'Gruppe A'!AZ127</f>
        <v>0</v>
      </c>
      <c r="M127" s="1042">
        <f>'Gruppe A'!BS82</f>
        <v>0</v>
      </c>
      <c r="N127" s="1084">
        <f>'Spiel 7 - Viertelfinal'!L50</f>
        <v>0.5</v>
      </c>
      <c r="O127" s="989">
        <f>'Spiel 7 - Viertelfinal'!R50</f>
        <v>0</v>
      </c>
      <c r="P127" s="1084"/>
      <c r="Q127" s="1084"/>
      <c r="R127" s="1084"/>
      <c r="S127" s="1043">
        <f>'Spiel 8 - Halbfinal'!L21</f>
        <v>0</v>
      </c>
      <c r="T127" s="989">
        <f>'Spiel 8 - Halbfinal'!R21</f>
        <v>0</v>
      </c>
      <c r="U127" s="1084">
        <f>'Spiel 8 - Halbfinal'!AL21</f>
        <v>0.5</v>
      </c>
      <c r="V127" s="1084">
        <f>'Spiel 8 - Halbfinal'!AR21</f>
        <v>0.5</v>
      </c>
      <c r="W127" s="1085"/>
      <c r="X127" s="989">
        <f>'Spiel 9 - Final'!E42</f>
        <v>0</v>
      </c>
      <c r="Y127" s="989">
        <f>'Spiel 9 - Final'!Y42</f>
        <v>0</v>
      </c>
      <c r="Z127" s="989">
        <f>'Spiel 9 - Final'!AE42</f>
        <v>0</v>
      </c>
      <c r="AA127" s="989">
        <f>'Spiel 9 - Final'!AY42</f>
        <v>0</v>
      </c>
      <c r="AB127" s="1042">
        <f>'Spiel 9 - Final'!BL42</f>
        <v>0</v>
      </c>
      <c r="AC127" s="1065">
        <f>AC126/AC125</f>
        <v>0.12121212121212122</v>
      </c>
    </row>
    <row r="128" spans="1:29" hidden="1" outlineLevel="1">
      <c r="A128" s="971" t="s">
        <v>5</v>
      </c>
      <c r="B128" s="1027">
        <f>'Gruppe A'!R83</f>
        <v>4.5</v>
      </c>
      <c r="C128" s="1029">
        <f>'Gruppe A'!AZ39</f>
        <v>2</v>
      </c>
      <c r="D128" s="1047"/>
      <c r="E128" s="1050">
        <f>'Gruppe A'!CF83</f>
        <v>7.5</v>
      </c>
      <c r="F128" s="1124">
        <f>'Gruppe A'!AF83</f>
        <v>12</v>
      </c>
      <c r="G128" s="1049">
        <f>'Gruppe A'!AZ64</f>
        <v>11</v>
      </c>
      <c r="H128" s="1047">
        <f>'Gruppe A'!AZ106</f>
        <v>2.5</v>
      </c>
      <c r="I128" s="1048">
        <f>'Gruppe A'!BF83</f>
        <v>9</v>
      </c>
      <c r="J128" s="1045">
        <f>'Gruppe A'!F83</f>
        <v>9</v>
      </c>
      <c r="K128" s="1046">
        <f>'Gruppe A'!AZ18</f>
        <v>2</v>
      </c>
      <c r="L128" s="1047">
        <f>'Gruppe A'!AZ128</f>
        <v>3</v>
      </c>
      <c r="M128" s="1050">
        <f>'Gruppe A'!BS83</f>
        <v>7.5</v>
      </c>
      <c r="N128" s="1088">
        <f>'Spiel 7 - Viertelfinal'!L51</f>
        <v>3</v>
      </c>
      <c r="O128" s="1088">
        <f>'Spiel 7 - Viertelfinal'!R51</f>
        <v>5.5</v>
      </c>
      <c r="P128" s="1088"/>
      <c r="Q128" s="1088"/>
      <c r="R128" s="1088"/>
      <c r="S128" s="1045">
        <f>'Spiel 8 - Halbfinal'!L22</f>
        <v>6</v>
      </c>
      <c r="T128" s="1088">
        <f>'Spiel 8 - Halbfinal'!R22</f>
        <v>12</v>
      </c>
      <c r="U128" s="1088">
        <f>'Spiel 8 - Halbfinal'!AL22</f>
        <v>1</v>
      </c>
      <c r="V128" s="1088">
        <f>'Spiel 8 - Halbfinal'!AR22</f>
        <v>1.5</v>
      </c>
      <c r="W128" s="1050"/>
      <c r="X128" s="1088">
        <f>'Spiel 9 - Final'!E43</f>
        <v>6</v>
      </c>
      <c r="Y128" s="1088">
        <f>'Spiel 9 - Final'!Y43</f>
        <v>7</v>
      </c>
      <c r="Z128" s="1088">
        <f>'Spiel 9 - Final'!AE43</f>
        <v>7</v>
      </c>
      <c r="AA128" s="1088">
        <f>'Spiel 9 - Final'!AY43</f>
        <v>9</v>
      </c>
      <c r="AB128" s="1049">
        <f>'Spiel 9 - Final'!BL43</f>
        <v>9</v>
      </c>
      <c r="AC128" s="1002">
        <f>AC124/AC125</f>
        <v>5.6060606060606064</v>
      </c>
    </row>
    <row r="129" spans="1:29" hidden="1" outlineLevel="1">
      <c r="A129" s="1003" t="s">
        <v>8</v>
      </c>
      <c r="B129" s="1138">
        <f>'Gruppe A'!R84</f>
        <v>4.5</v>
      </c>
      <c r="C129" s="415">
        <f>'Gruppe A'!AZ40</f>
        <v>4</v>
      </c>
      <c r="D129" s="1055"/>
      <c r="E129" s="1058">
        <f>'Gruppe A'!CF84</f>
        <v>7.5</v>
      </c>
      <c r="F129" s="1091">
        <f>'Gruppe A'!AF84</f>
        <v>12</v>
      </c>
      <c r="G129" s="1057">
        <f>'Gruppe A'!AZ65</f>
        <v>0</v>
      </c>
      <c r="H129" s="1055">
        <f>'Gruppe A'!AZ107</f>
        <v>2.5</v>
      </c>
      <c r="I129" s="1056">
        <f>'Gruppe A'!BF84</f>
        <v>9</v>
      </c>
      <c r="J129" s="1053">
        <f>'Gruppe A'!F84</f>
        <v>9</v>
      </c>
      <c r="K129" s="1054">
        <f>'Gruppe A'!AZ19</f>
        <v>2</v>
      </c>
      <c r="L129" s="1055">
        <f>'Gruppe A'!AZ129</f>
        <v>3</v>
      </c>
      <c r="M129" s="1058">
        <f>'Gruppe A'!BS84</f>
        <v>7.5</v>
      </c>
      <c r="N129" s="1091">
        <f>'Spiel 7 - Viertelfinal'!L52</f>
        <v>6</v>
      </c>
      <c r="O129" s="1091">
        <f>'Spiel 7 - Viertelfinal'!R52</f>
        <v>5.5</v>
      </c>
      <c r="P129" s="1091"/>
      <c r="Q129" s="1091"/>
      <c r="R129" s="1091"/>
      <c r="S129" s="1053">
        <f>'Spiel 8 - Halbfinal'!L23</f>
        <v>6</v>
      </c>
      <c r="T129" s="1091">
        <f>'Spiel 8 - Halbfinal'!R23</f>
        <v>12</v>
      </c>
      <c r="U129" s="1091">
        <f>'Spiel 8 - Halbfinal'!AL23</f>
        <v>2</v>
      </c>
      <c r="V129" s="1091">
        <f>'Spiel 8 - Halbfinal'!AR23</f>
        <v>3</v>
      </c>
      <c r="W129" s="1058"/>
      <c r="X129" s="1091">
        <f>'Spiel 9 - Final'!E44</f>
        <v>6</v>
      </c>
      <c r="Y129" s="1091">
        <f>'Spiel 9 - Final'!Y44</f>
        <v>7</v>
      </c>
      <c r="Z129" s="1091">
        <f>'Spiel 9 - Final'!AE44</f>
        <v>7</v>
      </c>
      <c r="AA129" s="1091">
        <f>'Spiel 9 - Final'!AY44</f>
        <v>9</v>
      </c>
      <c r="AB129" s="1057">
        <f>'Spiel 9 - Final'!BL44</f>
        <v>9</v>
      </c>
      <c r="AC129" s="1066">
        <f>AC124/(AC125-AC126)</f>
        <v>6.3793103448275863</v>
      </c>
    </row>
    <row r="130" spans="1:29" ht="3" hidden="1" customHeight="1" outlineLevel="1">
      <c r="M130" s="1129"/>
    </row>
    <row r="131" spans="1:29" hidden="1" outlineLevel="1">
      <c r="A131" s="1020" t="s">
        <v>113</v>
      </c>
      <c r="B131" s="1021"/>
      <c r="C131" s="1023"/>
      <c r="D131" s="1021"/>
      <c r="E131" s="1023"/>
      <c r="F131" s="1022"/>
      <c r="G131" s="1022"/>
      <c r="H131" s="1021"/>
      <c r="I131" s="1022"/>
      <c r="J131" s="1021"/>
      <c r="K131" s="1022"/>
      <c r="L131" s="1021"/>
      <c r="M131" s="1023"/>
      <c r="N131" s="1022"/>
      <c r="O131" s="1022"/>
      <c r="P131" s="1022"/>
      <c r="Q131" s="1022"/>
      <c r="R131" s="1022"/>
      <c r="S131" s="1021"/>
      <c r="T131" s="1022"/>
      <c r="U131" s="1022"/>
      <c r="V131" s="1022"/>
      <c r="W131" s="1023"/>
      <c r="X131" s="1022"/>
      <c r="Y131" s="1022"/>
      <c r="Z131" s="1022"/>
      <c r="AA131" s="1022"/>
      <c r="AB131" s="1023"/>
      <c r="AC131" s="1026"/>
    </row>
    <row r="132" spans="1:29" hidden="1" outlineLevel="1">
      <c r="A132" s="971" t="s">
        <v>3</v>
      </c>
      <c r="B132" s="1027"/>
      <c r="C132" s="1029">
        <f>'Gruppe A'!AY35</f>
        <v>11</v>
      </c>
      <c r="D132" s="1028">
        <f>'Gruppe A'!AZ148</f>
        <v>7</v>
      </c>
      <c r="E132" s="1029"/>
      <c r="F132" s="434">
        <f>'Gruppe A'!AD79</f>
        <v>16</v>
      </c>
      <c r="G132" s="1031">
        <f>'Gruppe A'!AX60</f>
        <v>6</v>
      </c>
      <c r="H132" s="1027">
        <f>'Gruppe A'!AX102</f>
        <v>7</v>
      </c>
      <c r="I132" s="1029">
        <f>'Gruppe A'!BD79</f>
        <v>7</v>
      </c>
      <c r="J132" s="1028">
        <f>'Gruppe A'!D79</f>
        <v>9</v>
      </c>
      <c r="K132" s="1079">
        <f>'Gruppe A'!AX14</f>
        <v>17</v>
      </c>
      <c r="L132" s="1027">
        <f>'Gruppe A'!AX124</f>
        <v>16</v>
      </c>
      <c r="M132" s="1031">
        <f>'Gruppe A'!BQ79</f>
        <v>12</v>
      </c>
      <c r="N132" s="1079"/>
      <c r="O132" s="1079"/>
      <c r="P132" s="1079">
        <f>'Spiel 7 - Viertelfinal'!AK47</f>
        <v>8</v>
      </c>
      <c r="Q132" s="1079">
        <f>'Spiel 7 - Viertelfinal'!AR47</f>
        <v>5</v>
      </c>
      <c r="R132" s="1079"/>
      <c r="S132" s="1027"/>
      <c r="T132" s="1079"/>
      <c r="U132" s="1079"/>
      <c r="V132" s="1079"/>
      <c r="W132" s="1031"/>
      <c r="X132" s="1079"/>
      <c r="Y132" s="1079"/>
      <c r="Z132" s="1079"/>
      <c r="AA132" s="1079"/>
      <c r="AB132" s="1030"/>
      <c r="AC132" s="1036">
        <f>SUM(B132:AB132)</f>
        <v>121</v>
      </c>
    </row>
    <row r="133" spans="1:29" hidden="1" outlineLevel="1">
      <c r="A133" s="971" t="s">
        <v>4</v>
      </c>
      <c r="B133" s="1028"/>
      <c r="C133" s="1029">
        <f>'Gruppe A'!AY36</f>
        <v>2</v>
      </c>
      <c r="D133" s="1028">
        <f>'Gruppe A'!AZ149</f>
        <v>3</v>
      </c>
      <c r="E133" s="1029"/>
      <c r="F133" s="113">
        <f>'Gruppe A'!AD80</f>
        <v>2</v>
      </c>
      <c r="G133" s="1029">
        <f>'Gruppe A'!AX61</f>
        <v>2</v>
      </c>
      <c r="H133" s="1028">
        <f>'Gruppe A'!AX103</f>
        <v>2</v>
      </c>
      <c r="I133" s="1029">
        <f>'Gruppe A'!BD80</f>
        <v>2</v>
      </c>
      <c r="J133" s="1027">
        <f>'Gruppe A'!D80</f>
        <v>2</v>
      </c>
      <c r="K133" s="113">
        <f>'Gruppe A'!AX15</f>
        <v>2</v>
      </c>
      <c r="L133" s="1028">
        <f>'Gruppe A'!AX125</f>
        <v>2</v>
      </c>
      <c r="M133" s="1031">
        <f>'Gruppe A'!BQ80</f>
        <v>2</v>
      </c>
      <c r="N133" s="1079"/>
      <c r="O133" s="1079"/>
      <c r="P133" s="1079">
        <f>'Spiel 7 - Viertelfinal'!AK48</f>
        <v>3</v>
      </c>
      <c r="Q133" s="1079">
        <f>'Spiel 7 - Viertelfinal'!AR48</f>
        <v>2</v>
      </c>
      <c r="R133" s="1079"/>
      <c r="S133" s="1027"/>
      <c r="T133" s="1079"/>
      <c r="U133" s="1079"/>
      <c r="V133" s="1079"/>
      <c r="W133" s="1031"/>
      <c r="X133" s="1079"/>
      <c r="Y133" s="1079"/>
      <c r="Z133" s="1079"/>
      <c r="AA133" s="1079"/>
      <c r="AB133" s="1030"/>
      <c r="AC133" s="985">
        <f>SUM(B133:AB133)</f>
        <v>26</v>
      </c>
    </row>
    <row r="134" spans="1:29" hidden="1" outlineLevel="1">
      <c r="A134" s="971" t="s">
        <v>6</v>
      </c>
      <c r="B134" s="1028"/>
      <c r="C134" s="978">
        <f>'Gruppe A'!AY37</f>
        <v>0</v>
      </c>
      <c r="D134" s="1028">
        <f>'Gruppe A'!AZ150</f>
        <v>1</v>
      </c>
      <c r="E134" s="1029"/>
      <c r="F134" s="973">
        <f>'Gruppe A'!AD81</f>
        <v>0</v>
      </c>
      <c r="G134" s="978">
        <f>'Gruppe A'!AX62</f>
        <v>0</v>
      </c>
      <c r="H134" s="1028">
        <f>'Gruppe A'!AX104</f>
        <v>1</v>
      </c>
      <c r="I134" s="978">
        <f>'Gruppe A'!BD81</f>
        <v>0</v>
      </c>
      <c r="J134" s="972">
        <f>'Gruppe A'!D81</f>
        <v>0</v>
      </c>
      <c r="K134" s="978">
        <f>'Gruppe A'!AX16</f>
        <v>0</v>
      </c>
      <c r="L134" s="972">
        <f>'Gruppe A'!AX126</f>
        <v>0</v>
      </c>
      <c r="M134" s="978">
        <f>'Gruppe A'!BQ81</f>
        <v>0</v>
      </c>
      <c r="N134" s="1079"/>
      <c r="O134" s="1079"/>
      <c r="P134" s="1079">
        <f>'Spiel 7 - Viertelfinal'!AK49</f>
        <v>1</v>
      </c>
      <c r="Q134" s="1079">
        <f>'Spiel 7 - Viertelfinal'!AR49</f>
        <v>1</v>
      </c>
      <c r="R134" s="1079"/>
      <c r="S134" s="1027"/>
      <c r="T134" s="1079"/>
      <c r="U134" s="1079"/>
      <c r="V134" s="1079"/>
      <c r="W134" s="1031"/>
      <c r="X134" s="1079"/>
      <c r="Y134" s="1079"/>
      <c r="Z134" s="1079"/>
      <c r="AA134" s="1079"/>
      <c r="AB134" s="1030"/>
      <c r="AC134" s="987">
        <f>SUM(B134:AB134)</f>
        <v>4</v>
      </c>
    </row>
    <row r="135" spans="1:29" hidden="1" outlineLevel="1">
      <c r="A135" s="971" t="s">
        <v>12</v>
      </c>
      <c r="B135" s="1083"/>
      <c r="C135" s="1042">
        <f>'Gruppe A'!AY38</f>
        <v>0</v>
      </c>
      <c r="D135" s="1083">
        <f>'Gruppe A'!AZ151</f>
        <v>0.33333333333333331</v>
      </c>
      <c r="E135" s="1085"/>
      <c r="F135" s="989">
        <f>'Gruppe A'!AD82</f>
        <v>0</v>
      </c>
      <c r="G135" s="1042">
        <f>'Gruppe A'!AX63</f>
        <v>0</v>
      </c>
      <c r="H135" s="1083">
        <f>'Gruppe A'!AX105</f>
        <v>0.5</v>
      </c>
      <c r="I135" s="1042">
        <f>'Gruppe A'!BD82</f>
        <v>0</v>
      </c>
      <c r="J135" s="1043">
        <f>'Gruppe A'!D82</f>
        <v>0</v>
      </c>
      <c r="K135" s="1042">
        <f>'Gruppe A'!AX17</f>
        <v>0</v>
      </c>
      <c r="L135" s="1043">
        <f>'Gruppe A'!AX127</f>
        <v>0</v>
      </c>
      <c r="M135" s="1042">
        <f>'Gruppe A'!BQ82</f>
        <v>0</v>
      </c>
      <c r="N135" s="1084"/>
      <c r="O135" s="1084"/>
      <c r="P135" s="1084">
        <f>'Spiel 7 - Viertelfinal'!AK50</f>
        <v>0.33333333333333331</v>
      </c>
      <c r="Q135" s="1084">
        <f>'Spiel 7 - Viertelfinal'!AR50</f>
        <v>0.5</v>
      </c>
      <c r="R135" s="1084"/>
      <c r="S135" s="1083"/>
      <c r="T135" s="1084"/>
      <c r="U135" s="1084"/>
      <c r="V135" s="1084"/>
      <c r="W135" s="1085"/>
      <c r="X135" s="1084"/>
      <c r="Y135" s="1084"/>
      <c r="Z135" s="1084"/>
      <c r="AA135" s="1084"/>
      <c r="AB135" s="1086"/>
      <c r="AC135" s="996">
        <f>AC134/AC133</f>
        <v>0.15384615384615385</v>
      </c>
    </row>
    <row r="136" spans="1:29" hidden="1" outlineLevel="1">
      <c r="A136" s="971" t="s">
        <v>5</v>
      </c>
      <c r="B136" s="1045"/>
      <c r="C136" s="1029">
        <f>'Gruppe A'!AY39</f>
        <v>5.5</v>
      </c>
      <c r="D136" s="1047">
        <f>'Gruppe A'!AZ152</f>
        <v>2.3333333333333335</v>
      </c>
      <c r="E136" s="1050"/>
      <c r="F136" s="1124">
        <f>'Gruppe A'!AD83</f>
        <v>8</v>
      </c>
      <c r="G136" s="1049">
        <f>'Gruppe A'!AX64</f>
        <v>3</v>
      </c>
      <c r="H136" s="1047">
        <f>'Gruppe A'!AX106</f>
        <v>3.5</v>
      </c>
      <c r="I136" s="1048">
        <f>'Gruppe A'!BD83</f>
        <v>3.5</v>
      </c>
      <c r="J136" s="1045">
        <f>'Gruppe A'!D83</f>
        <v>4.5</v>
      </c>
      <c r="K136" s="1046">
        <f>'Gruppe A'!AX18</f>
        <v>8.5</v>
      </c>
      <c r="L136" s="1047">
        <f>'Gruppe A'!AX128</f>
        <v>8</v>
      </c>
      <c r="M136" s="1050">
        <f>'Gruppe A'!BQ83</f>
        <v>6</v>
      </c>
      <c r="N136" s="1088"/>
      <c r="O136" s="1088"/>
      <c r="P136" s="1088">
        <f>'Spiel 7 - Viertelfinal'!AK51</f>
        <v>2.6666666666666665</v>
      </c>
      <c r="Q136" s="1088">
        <f>'Spiel 7 - Viertelfinal'!AR51</f>
        <v>2.5</v>
      </c>
      <c r="R136" s="1088"/>
      <c r="S136" s="1045"/>
      <c r="T136" s="1088"/>
      <c r="U136" s="1088"/>
      <c r="V136" s="1088"/>
      <c r="W136" s="1050"/>
      <c r="X136" s="1088"/>
      <c r="Y136" s="1088"/>
      <c r="Z136" s="1088"/>
      <c r="AA136" s="1088"/>
      <c r="AB136" s="1049"/>
      <c r="AC136" s="1064">
        <f>AC132/AC133</f>
        <v>4.6538461538461542</v>
      </c>
    </row>
    <row r="137" spans="1:29" hidden="1" outlineLevel="1">
      <c r="A137" s="1003" t="s">
        <v>8</v>
      </c>
      <c r="B137" s="1053"/>
      <c r="C137" s="415">
        <f>'Gruppe A'!AY40</f>
        <v>5.5</v>
      </c>
      <c r="D137" s="1055">
        <f>'Gruppe A'!AZ153</f>
        <v>3.5</v>
      </c>
      <c r="E137" s="1058"/>
      <c r="F137" s="1091">
        <f>'Gruppe A'!AD84</f>
        <v>8</v>
      </c>
      <c r="G137" s="1057">
        <f>'Gruppe A'!AX65</f>
        <v>3</v>
      </c>
      <c r="H137" s="1055">
        <f>'Gruppe A'!AX107</f>
        <v>7</v>
      </c>
      <c r="I137" s="1056">
        <f>'Gruppe A'!BD84</f>
        <v>3.5</v>
      </c>
      <c r="J137" s="1053">
        <f>'Gruppe A'!D84</f>
        <v>4.5</v>
      </c>
      <c r="K137" s="1054">
        <f>'Gruppe A'!AX19</f>
        <v>8.5</v>
      </c>
      <c r="L137" s="1055">
        <f>'Gruppe A'!AX129</f>
        <v>8</v>
      </c>
      <c r="M137" s="1058">
        <f>'Gruppe A'!BQ84</f>
        <v>6</v>
      </c>
      <c r="N137" s="1091"/>
      <c r="O137" s="1091"/>
      <c r="P137" s="1091">
        <f>'Spiel 7 - Viertelfinal'!AK52</f>
        <v>4</v>
      </c>
      <c r="Q137" s="1091">
        <f>'Spiel 7 - Viertelfinal'!AR52</f>
        <v>5</v>
      </c>
      <c r="R137" s="1091"/>
      <c r="S137" s="1053"/>
      <c r="T137" s="1091"/>
      <c r="U137" s="1091"/>
      <c r="V137" s="1091"/>
      <c r="W137" s="1058"/>
      <c r="X137" s="1091"/>
      <c r="Y137" s="1091"/>
      <c r="Z137" s="1091"/>
      <c r="AA137" s="1091"/>
      <c r="AB137" s="1057"/>
      <c r="AC137" s="1007">
        <f>AC132/(AC133-AC134)</f>
        <v>5.5</v>
      </c>
    </row>
    <row r="138" spans="1:29" ht="3" hidden="1" customHeight="1" outlineLevel="1">
      <c r="B138" s="1024"/>
      <c r="C138" s="1025"/>
      <c r="D138" s="1113"/>
      <c r="E138" s="1114"/>
      <c r="F138" s="114"/>
      <c r="G138" s="123"/>
      <c r="H138" s="1024"/>
      <c r="I138" s="1025"/>
      <c r="J138" s="1024"/>
      <c r="K138" s="1025"/>
      <c r="L138" s="1059"/>
      <c r="M138" s="1061"/>
      <c r="N138" s="1060"/>
      <c r="O138" s="1060"/>
      <c r="P138" s="1060"/>
      <c r="Q138" s="1060"/>
      <c r="R138" s="1060"/>
      <c r="S138" s="1059"/>
      <c r="T138" s="1060"/>
      <c r="U138" s="1060"/>
      <c r="V138" s="1060"/>
      <c r="W138" s="1061"/>
      <c r="X138" s="1060"/>
      <c r="Y138" s="1060"/>
      <c r="Z138" s="1060"/>
      <c r="AA138" s="1060"/>
      <c r="AB138" s="1061"/>
      <c r="AC138" s="1062"/>
    </row>
    <row r="139" spans="1:29" hidden="1" outlineLevel="1">
      <c r="A139" s="1020" t="s">
        <v>147</v>
      </c>
      <c r="B139" s="1021"/>
      <c r="C139" s="1023"/>
      <c r="D139" s="1021"/>
      <c r="E139" s="1139"/>
      <c r="F139" s="106"/>
      <c r="G139" s="434"/>
      <c r="H139" s="1021"/>
      <c r="I139" s="1022"/>
      <c r="J139" s="1021"/>
      <c r="K139" s="1022"/>
      <c r="L139" s="1024"/>
      <c r="M139" s="1025"/>
      <c r="N139" s="434"/>
      <c r="O139" s="434"/>
      <c r="P139" s="434"/>
      <c r="Q139" s="434"/>
      <c r="R139" s="434"/>
      <c r="S139" s="1024"/>
      <c r="T139" s="434"/>
      <c r="U139" s="434"/>
      <c r="V139" s="434"/>
      <c r="W139" s="1025"/>
      <c r="X139" s="434"/>
      <c r="Y139" s="434"/>
      <c r="Z139" s="434"/>
      <c r="AA139" s="434"/>
      <c r="AB139" s="1025"/>
      <c r="AC139" s="1026"/>
    </row>
    <row r="140" spans="1:29" hidden="1" outlineLevel="1">
      <c r="A140" s="971" t="s">
        <v>3</v>
      </c>
      <c r="B140" s="1027">
        <f>'Gruppe A'!P79</f>
        <v>4</v>
      </c>
      <c r="C140" s="1029"/>
      <c r="D140" s="1028">
        <f>'Gruppe A'!AY148</f>
        <v>10</v>
      </c>
      <c r="E140" s="1025">
        <f>'Gruppe A'!CD79</f>
        <v>12</v>
      </c>
      <c r="F140" s="113"/>
      <c r="G140" s="1031"/>
      <c r="H140" s="1027"/>
      <c r="I140" s="1029"/>
      <c r="J140" s="1028"/>
      <c r="K140" s="1079"/>
      <c r="L140" s="1027"/>
      <c r="M140" s="1031"/>
      <c r="N140" s="1079"/>
      <c r="O140" s="1079"/>
      <c r="P140" s="1079">
        <f>'Spiel 7 - Viertelfinal'!AL47</f>
        <v>17</v>
      </c>
      <c r="Q140" s="1079">
        <f>'Spiel 7 - Viertelfinal'!AQ47</f>
        <v>17</v>
      </c>
      <c r="R140" s="1079"/>
      <c r="S140" s="1027"/>
      <c r="T140" s="1079"/>
      <c r="U140" s="1079"/>
      <c r="V140" s="1079"/>
      <c r="W140" s="1031"/>
      <c r="X140" s="1079"/>
      <c r="Y140" s="1079"/>
      <c r="Z140" s="1079"/>
      <c r="AA140" s="1079"/>
      <c r="AB140" s="1030"/>
      <c r="AC140" s="987">
        <f>SUM(B140:AB140)</f>
        <v>60</v>
      </c>
    </row>
    <row r="141" spans="1:29" hidden="1" outlineLevel="1">
      <c r="A141" s="971" t="s">
        <v>4</v>
      </c>
      <c r="B141" s="1027">
        <f>'Gruppe A'!P80</f>
        <v>2</v>
      </c>
      <c r="C141" s="1029"/>
      <c r="D141" s="1028">
        <f>'Gruppe A'!AY149</f>
        <v>3</v>
      </c>
      <c r="E141" s="1029">
        <f>'Gruppe A'!CD80</f>
        <v>2</v>
      </c>
      <c r="F141" s="113"/>
      <c r="G141" s="1029"/>
      <c r="H141" s="1028"/>
      <c r="I141" s="1029"/>
      <c r="J141" s="1027"/>
      <c r="K141" s="113"/>
      <c r="L141" s="1028"/>
      <c r="M141" s="1031"/>
      <c r="N141" s="1079"/>
      <c r="O141" s="1079"/>
      <c r="P141" s="1079">
        <f>'Spiel 7 - Viertelfinal'!AL48</f>
        <v>3</v>
      </c>
      <c r="Q141" s="1079">
        <f>'Spiel 7 - Viertelfinal'!AQ48</f>
        <v>2</v>
      </c>
      <c r="R141" s="1079"/>
      <c r="S141" s="1027"/>
      <c r="T141" s="1079"/>
      <c r="U141" s="1079"/>
      <c r="V141" s="1079"/>
      <c r="W141" s="1031"/>
      <c r="X141" s="1079"/>
      <c r="Y141" s="1079"/>
      <c r="Z141" s="1079"/>
      <c r="AA141" s="1079"/>
      <c r="AB141" s="1030"/>
      <c r="AC141" s="985">
        <f>SUM(B141:AB141)</f>
        <v>12</v>
      </c>
    </row>
    <row r="142" spans="1:29" hidden="1" outlineLevel="1">
      <c r="A142" s="971" t="s">
        <v>6</v>
      </c>
      <c r="B142" s="1027">
        <f>'Gruppe A'!P81</f>
        <v>1</v>
      </c>
      <c r="C142" s="1029"/>
      <c r="D142" s="1028">
        <f>'Gruppe A'!AY150</f>
        <v>1</v>
      </c>
      <c r="E142" s="978">
        <f>'Gruppe A'!CD81</f>
        <v>0</v>
      </c>
      <c r="F142" s="113"/>
      <c r="G142" s="1029"/>
      <c r="H142" s="1028"/>
      <c r="I142" s="1029"/>
      <c r="J142" s="1028"/>
      <c r="K142" s="1029"/>
      <c r="L142" s="1028"/>
      <c r="M142" s="1029"/>
      <c r="N142" s="1079"/>
      <c r="O142" s="1079"/>
      <c r="P142" s="1079">
        <f>'Spiel 7 - Viertelfinal'!AL49</f>
        <v>1</v>
      </c>
      <c r="Q142" s="973">
        <f>'Spiel 7 - Viertelfinal'!AQ49</f>
        <v>0</v>
      </c>
      <c r="R142" s="1079"/>
      <c r="S142" s="1027"/>
      <c r="T142" s="1079"/>
      <c r="U142" s="1079"/>
      <c r="V142" s="1079"/>
      <c r="W142" s="1031"/>
      <c r="X142" s="1079"/>
      <c r="Y142" s="1079"/>
      <c r="Z142" s="1079"/>
      <c r="AA142" s="1079"/>
      <c r="AB142" s="1030"/>
      <c r="AC142" s="979">
        <f>SUM(B142:AB142)</f>
        <v>3</v>
      </c>
    </row>
    <row r="143" spans="1:29" hidden="1" outlineLevel="1">
      <c r="A143" s="971" t="s">
        <v>12</v>
      </c>
      <c r="B143" s="1039">
        <f>'Gruppe A'!P82</f>
        <v>0.5</v>
      </c>
      <c r="C143" s="1085"/>
      <c r="D143" s="1083">
        <f>'Gruppe A'!AY151</f>
        <v>0.33333333333333331</v>
      </c>
      <c r="E143" s="1042">
        <f>'Gruppe A'!CD82</f>
        <v>0</v>
      </c>
      <c r="F143" s="1084"/>
      <c r="G143" s="1085"/>
      <c r="H143" s="1083"/>
      <c r="I143" s="1085"/>
      <c r="J143" s="1083"/>
      <c r="K143" s="1085"/>
      <c r="L143" s="1083"/>
      <c r="M143" s="1085"/>
      <c r="N143" s="1084"/>
      <c r="O143" s="1084"/>
      <c r="P143" s="1084">
        <f>'Spiel 7 - Viertelfinal'!AL50</f>
        <v>0.33333333333333331</v>
      </c>
      <c r="Q143" s="989">
        <f>'Spiel 7 - Viertelfinal'!AQ50</f>
        <v>0</v>
      </c>
      <c r="R143" s="1084"/>
      <c r="S143" s="1083"/>
      <c r="T143" s="1084"/>
      <c r="U143" s="1084"/>
      <c r="V143" s="1084"/>
      <c r="W143" s="1085"/>
      <c r="X143" s="1084"/>
      <c r="Y143" s="1084"/>
      <c r="Z143" s="1084"/>
      <c r="AA143" s="1084"/>
      <c r="AB143" s="1086"/>
      <c r="AC143" s="1065">
        <f>AC142/AC141</f>
        <v>0.25</v>
      </c>
    </row>
    <row r="144" spans="1:29" hidden="1" outlineLevel="1">
      <c r="A144" s="971" t="s">
        <v>5</v>
      </c>
      <c r="B144" s="1027">
        <f>'Gruppe A'!P83</f>
        <v>2</v>
      </c>
      <c r="C144" s="1050"/>
      <c r="D144" s="1047">
        <f>'Gruppe A'!AY152</f>
        <v>3.3333333333333335</v>
      </c>
      <c r="E144" s="1050">
        <f>'Gruppe A'!CD83</f>
        <v>6</v>
      </c>
      <c r="F144" s="1124"/>
      <c r="G144" s="1049"/>
      <c r="H144" s="1047"/>
      <c r="I144" s="1048"/>
      <c r="J144" s="1045"/>
      <c r="K144" s="1046"/>
      <c r="L144" s="1047"/>
      <c r="M144" s="1050"/>
      <c r="N144" s="1088"/>
      <c r="O144" s="1088"/>
      <c r="P144" s="1088">
        <f>'Spiel 7 - Viertelfinal'!AL51</f>
        <v>5.666666666666667</v>
      </c>
      <c r="Q144" s="1088">
        <f>'Spiel 7 - Viertelfinal'!AQ51</f>
        <v>8.5</v>
      </c>
      <c r="R144" s="1088"/>
      <c r="S144" s="1045"/>
      <c r="T144" s="1088"/>
      <c r="U144" s="1088"/>
      <c r="V144" s="1088"/>
      <c r="W144" s="1050"/>
      <c r="X144" s="1088"/>
      <c r="Y144" s="1088"/>
      <c r="Z144" s="1088"/>
      <c r="AA144" s="1088"/>
      <c r="AB144" s="1049"/>
      <c r="AC144" s="1002">
        <f>AC140/AC141</f>
        <v>5</v>
      </c>
    </row>
    <row r="145" spans="1:29" hidden="1" outlineLevel="1">
      <c r="A145" s="1003" t="s">
        <v>8</v>
      </c>
      <c r="B145" s="1138">
        <f>'Gruppe A'!P84</f>
        <v>4</v>
      </c>
      <c r="C145" s="1058"/>
      <c r="D145" s="1055">
        <f>'Gruppe A'!AY153</f>
        <v>5</v>
      </c>
      <c r="E145" s="1058">
        <f>'Gruppe A'!CD84</f>
        <v>6</v>
      </c>
      <c r="F145" s="1091"/>
      <c r="G145" s="1057"/>
      <c r="H145" s="1055"/>
      <c r="I145" s="1056"/>
      <c r="J145" s="1053"/>
      <c r="K145" s="1054"/>
      <c r="L145" s="1055"/>
      <c r="M145" s="1058"/>
      <c r="N145" s="1091"/>
      <c r="O145" s="1091"/>
      <c r="P145" s="1091">
        <f>'Spiel 7 - Viertelfinal'!AL52</f>
        <v>8.5</v>
      </c>
      <c r="Q145" s="1091">
        <f>'Spiel 7 - Viertelfinal'!AQ52</f>
        <v>8.5</v>
      </c>
      <c r="R145" s="1091"/>
      <c r="S145" s="1053"/>
      <c r="T145" s="1091"/>
      <c r="U145" s="1091"/>
      <c r="V145" s="1091"/>
      <c r="W145" s="1058"/>
      <c r="X145" s="1091"/>
      <c r="Y145" s="1091"/>
      <c r="Z145" s="1091"/>
      <c r="AA145" s="1091"/>
      <c r="AB145" s="1057"/>
      <c r="AC145" s="1066">
        <f>AC140/(AC141-AC142)</f>
        <v>6.666666666666667</v>
      </c>
    </row>
    <row r="146" spans="1:29" ht="3" hidden="1" customHeight="1" outlineLevel="1">
      <c r="M146" s="1129"/>
    </row>
    <row r="147" spans="1:29" collapsed="1">
      <c r="A147" s="1140" t="s">
        <v>103</v>
      </c>
      <c r="B147" s="1141"/>
      <c r="C147" s="1142"/>
      <c r="D147" s="1141"/>
      <c r="E147" s="1143"/>
      <c r="F147" s="1142"/>
      <c r="G147" s="1143"/>
      <c r="H147" s="1141"/>
      <c r="I147" s="1143"/>
      <c r="J147" s="1141"/>
      <c r="K147" s="1143"/>
      <c r="L147" s="1141"/>
      <c r="M147" s="1143"/>
      <c r="N147" s="1142"/>
      <c r="O147" s="1142"/>
      <c r="P147" s="1142"/>
      <c r="Q147" s="1142"/>
      <c r="R147" s="1142"/>
      <c r="S147" s="1142"/>
      <c r="T147" s="1142"/>
      <c r="U147" s="1142"/>
      <c r="V147" s="1142"/>
      <c r="W147" s="1142"/>
      <c r="X147" s="1142"/>
      <c r="Y147" s="1142"/>
      <c r="Z147" s="1142"/>
      <c r="AA147" s="1142"/>
      <c r="AB147" s="1143"/>
      <c r="AC147" s="1140"/>
    </row>
    <row r="148" spans="1:29">
      <c r="A148" s="971" t="s">
        <v>3</v>
      </c>
      <c r="B148" s="1144">
        <f>B156+B164+B172+B180</f>
        <v>50</v>
      </c>
      <c r="C148" s="1145">
        <f t="shared" ref="C148:AB148" si="32">C156+C164+C172+C180</f>
        <v>50</v>
      </c>
      <c r="D148" s="1144">
        <f t="shared" si="32"/>
        <v>50</v>
      </c>
      <c r="E148" s="1146">
        <f t="shared" si="32"/>
        <v>25</v>
      </c>
      <c r="F148" s="1147">
        <f t="shared" si="32"/>
        <v>45</v>
      </c>
      <c r="G148" s="1145">
        <f t="shared" si="32"/>
        <v>50</v>
      </c>
      <c r="H148" s="1144">
        <f t="shared" si="32"/>
        <v>50</v>
      </c>
      <c r="I148" s="1146">
        <f t="shared" si="32"/>
        <v>42</v>
      </c>
      <c r="J148" s="1144">
        <f t="shared" si="32"/>
        <v>50</v>
      </c>
      <c r="K148" s="1145">
        <f t="shared" si="32"/>
        <v>50</v>
      </c>
      <c r="L148" s="1144">
        <f t="shared" si="32"/>
        <v>50</v>
      </c>
      <c r="M148" s="1148">
        <f t="shared" si="32"/>
        <v>50</v>
      </c>
      <c r="N148" s="1145">
        <f t="shared" si="32"/>
        <v>50</v>
      </c>
      <c r="O148" s="1146">
        <f t="shared" si="32"/>
        <v>31</v>
      </c>
      <c r="P148" s="1146">
        <f t="shared" si="32"/>
        <v>39</v>
      </c>
      <c r="Q148" s="1145">
        <f t="shared" si="32"/>
        <v>50</v>
      </c>
      <c r="R148" s="1145">
        <f t="shared" si="32"/>
        <v>50</v>
      </c>
      <c r="S148" s="1144">
        <f t="shared" si="32"/>
        <v>50</v>
      </c>
      <c r="T148" s="1146">
        <f t="shared" si="32"/>
        <v>44</v>
      </c>
      <c r="U148" s="1146">
        <f t="shared" si="32"/>
        <v>32</v>
      </c>
      <c r="V148" s="1145">
        <f t="shared" si="32"/>
        <v>50</v>
      </c>
      <c r="W148" s="1149">
        <f t="shared" si="32"/>
        <v>33</v>
      </c>
      <c r="X148" s="1145">
        <f t="shared" si="32"/>
        <v>50</v>
      </c>
      <c r="Y148" s="1146">
        <f t="shared" si="32"/>
        <v>38</v>
      </c>
      <c r="Z148" s="1146">
        <f t="shared" si="32"/>
        <v>36</v>
      </c>
      <c r="AA148" s="1145">
        <f t="shared" si="32"/>
        <v>50</v>
      </c>
      <c r="AB148" s="1149">
        <f t="shared" si="32"/>
        <v>33</v>
      </c>
      <c r="AC148" s="979">
        <f>SUM(B148:AB148)</f>
        <v>1198</v>
      </c>
    </row>
    <row r="149" spans="1:29">
      <c r="A149" s="971" t="s">
        <v>4</v>
      </c>
      <c r="B149" s="982">
        <f t="shared" ref="B149:AB149" si="33">B157+B165+B173+B181</f>
        <v>8</v>
      </c>
      <c r="C149" s="1105">
        <f t="shared" si="33"/>
        <v>10</v>
      </c>
      <c r="D149" s="980">
        <f t="shared" si="33"/>
        <v>7</v>
      </c>
      <c r="E149" s="1104">
        <f t="shared" si="33"/>
        <v>6</v>
      </c>
      <c r="F149" s="1105">
        <f t="shared" si="33"/>
        <v>8</v>
      </c>
      <c r="G149" s="983">
        <f t="shared" si="33"/>
        <v>6</v>
      </c>
      <c r="H149" s="982">
        <f t="shared" si="33"/>
        <v>7</v>
      </c>
      <c r="I149" s="1104">
        <f t="shared" si="33"/>
        <v>6</v>
      </c>
      <c r="J149" s="980">
        <f t="shared" si="33"/>
        <v>7</v>
      </c>
      <c r="K149" s="981">
        <f t="shared" si="33"/>
        <v>6</v>
      </c>
      <c r="L149" s="982">
        <f t="shared" si="33"/>
        <v>6</v>
      </c>
      <c r="M149" s="983">
        <f t="shared" si="33"/>
        <v>9</v>
      </c>
      <c r="N149" s="981">
        <f t="shared" si="33"/>
        <v>7</v>
      </c>
      <c r="O149" s="981">
        <f t="shared" si="33"/>
        <v>6</v>
      </c>
      <c r="P149" s="981">
        <f t="shared" si="33"/>
        <v>8</v>
      </c>
      <c r="Q149" s="981">
        <f t="shared" si="33"/>
        <v>9</v>
      </c>
      <c r="R149" s="981">
        <f t="shared" si="33"/>
        <v>9</v>
      </c>
      <c r="S149" s="982">
        <f t="shared" si="33"/>
        <v>9</v>
      </c>
      <c r="T149" s="981">
        <f t="shared" si="33"/>
        <v>6</v>
      </c>
      <c r="U149" s="981">
        <f t="shared" si="33"/>
        <v>6</v>
      </c>
      <c r="V149" s="981">
        <f t="shared" si="33"/>
        <v>9</v>
      </c>
      <c r="W149" s="983">
        <f t="shared" si="33"/>
        <v>7</v>
      </c>
      <c r="X149" s="981">
        <f t="shared" si="33"/>
        <v>11</v>
      </c>
      <c r="Y149" s="981">
        <f t="shared" si="33"/>
        <v>7</v>
      </c>
      <c r="Z149" s="981">
        <f t="shared" si="33"/>
        <v>8</v>
      </c>
      <c r="AA149" s="981">
        <f t="shared" si="33"/>
        <v>8</v>
      </c>
      <c r="AB149" s="984">
        <f t="shared" si="33"/>
        <v>13</v>
      </c>
      <c r="AC149" s="985">
        <f>SUM(B149:AB149)</f>
        <v>209</v>
      </c>
    </row>
    <row r="150" spans="1:29">
      <c r="A150" s="971" t="s">
        <v>6</v>
      </c>
      <c r="B150" s="980">
        <f t="shared" ref="B150:AB150" si="34">B158+B166+B174+B182</f>
        <v>1</v>
      </c>
      <c r="C150" s="1104">
        <f t="shared" si="34"/>
        <v>2</v>
      </c>
      <c r="D150" s="972">
        <f t="shared" si="34"/>
        <v>0</v>
      </c>
      <c r="E150" s="1104">
        <f t="shared" si="34"/>
        <v>2</v>
      </c>
      <c r="F150" s="980">
        <f t="shared" si="34"/>
        <v>2</v>
      </c>
      <c r="G150" s="1104">
        <f t="shared" si="34"/>
        <v>1</v>
      </c>
      <c r="H150" s="972">
        <f t="shared" si="34"/>
        <v>0</v>
      </c>
      <c r="I150" s="1104">
        <f t="shared" si="34"/>
        <v>1</v>
      </c>
      <c r="J150" s="972">
        <f t="shared" si="34"/>
        <v>0</v>
      </c>
      <c r="K150" s="1105">
        <f t="shared" si="34"/>
        <v>1</v>
      </c>
      <c r="L150" s="972">
        <f t="shared" si="34"/>
        <v>0</v>
      </c>
      <c r="M150" s="983">
        <f t="shared" si="34"/>
        <v>2</v>
      </c>
      <c r="N150" s="981">
        <f t="shared" si="34"/>
        <v>1</v>
      </c>
      <c r="O150" s="981">
        <f t="shared" si="34"/>
        <v>1</v>
      </c>
      <c r="P150" s="981">
        <f t="shared" si="34"/>
        <v>2</v>
      </c>
      <c r="Q150" s="981">
        <f t="shared" si="34"/>
        <v>2</v>
      </c>
      <c r="R150" s="981">
        <f t="shared" si="34"/>
        <v>2</v>
      </c>
      <c r="S150" s="982">
        <f t="shared" si="34"/>
        <v>1</v>
      </c>
      <c r="T150" s="973">
        <f t="shared" si="34"/>
        <v>0</v>
      </c>
      <c r="U150" s="981">
        <f t="shared" si="34"/>
        <v>1</v>
      </c>
      <c r="V150" s="981">
        <f t="shared" si="34"/>
        <v>2</v>
      </c>
      <c r="W150" s="983">
        <f t="shared" si="34"/>
        <v>2</v>
      </c>
      <c r="X150" s="981">
        <f t="shared" si="34"/>
        <v>3</v>
      </c>
      <c r="Y150" s="981">
        <f t="shared" si="34"/>
        <v>3</v>
      </c>
      <c r="Z150" s="981">
        <f t="shared" si="34"/>
        <v>1</v>
      </c>
      <c r="AA150" s="981">
        <f t="shared" si="34"/>
        <v>1</v>
      </c>
      <c r="AB150" s="984">
        <f t="shared" si="34"/>
        <v>3</v>
      </c>
      <c r="AC150" s="987">
        <f>SUM(B150:AB150)</f>
        <v>37</v>
      </c>
    </row>
    <row r="151" spans="1:29">
      <c r="A151" s="971" t="s">
        <v>12</v>
      </c>
      <c r="B151" s="988">
        <f t="shared" ref="B151:AC151" si="35">B150/B149</f>
        <v>0.125</v>
      </c>
      <c r="C151" s="1150">
        <f t="shared" si="35"/>
        <v>0.2</v>
      </c>
      <c r="D151" s="1043">
        <f t="shared" si="35"/>
        <v>0</v>
      </c>
      <c r="E151" s="1150">
        <f t="shared" si="35"/>
        <v>0.33333333333333331</v>
      </c>
      <c r="F151" s="988">
        <f t="shared" si="35"/>
        <v>0.25</v>
      </c>
      <c r="G151" s="1150">
        <f t="shared" si="35"/>
        <v>0.16666666666666666</v>
      </c>
      <c r="H151" s="1043">
        <f t="shared" si="35"/>
        <v>0</v>
      </c>
      <c r="I151" s="1150">
        <f t="shared" si="35"/>
        <v>0.16666666666666666</v>
      </c>
      <c r="J151" s="1043">
        <f t="shared" si="35"/>
        <v>0</v>
      </c>
      <c r="K151" s="1150">
        <f t="shared" si="35"/>
        <v>0.16666666666666666</v>
      </c>
      <c r="L151" s="1043">
        <f t="shared" si="35"/>
        <v>0</v>
      </c>
      <c r="M151" s="1150">
        <f t="shared" si="35"/>
        <v>0.22222222222222221</v>
      </c>
      <c r="N151" s="1151">
        <f t="shared" si="35"/>
        <v>0.14285714285714285</v>
      </c>
      <c r="O151" s="1151">
        <f t="shared" si="35"/>
        <v>0.16666666666666666</v>
      </c>
      <c r="P151" s="1151">
        <f t="shared" si="35"/>
        <v>0.25</v>
      </c>
      <c r="Q151" s="1151">
        <f t="shared" si="35"/>
        <v>0.22222222222222221</v>
      </c>
      <c r="R151" s="1151">
        <f t="shared" si="35"/>
        <v>0.22222222222222221</v>
      </c>
      <c r="S151" s="988">
        <f t="shared" si="35"/>
        <v>0.1111111111111111</v>
      </c>
      <c r="T151" s="989">
        <f t="shared" si="35"/>
        <v>0</v>
      </c>
      <c r="U151" s="1151">
        <f t="shared" si="35"/>
        <v>0.16666666666666666</v>
      </c>
      <c r="V151" s="1151">
        <f t="shared" si="35"/>
        <v>0.22222222222222221</v>
      </c>
      <c r="W151" s="1150">
        <f t="shared" si="35"/>
        <v>0.2857142857142857</v>
      </c>
      <c r="X151" s="1151">
        <f t="shared" si="35"/>
        <v>0.27272727272727271</v>
      </c>
      <c r="Y151" s="1151">
        <f t="shared" si="35"/>
        <v>0.42857142857142855</v>
      </c>
      <c r="Z151" s="1151">
        <f t="shared" si="35"/>
        <v>0.125</v>
      </c>
      <c r="AA151" s="1151">
        <f t="shared" si="35"/>
        <v>0.125</v>
      </c>
      <c r="AB151" s="1150">
        <f t="shared" si="35"/>
        <v>0.23076923076923078</v>
      </c>
      <c r="AC151" s="996">
        <f t="shared" si="35"/>
        <v>0.17703349282296652</v>
      </c>
    </row>
    <row r="152" spans="1:29">
      <c r="A152" s="971" t="s">
        <v>5</v>
      </c>
      <c r="B152" s="1152">
        <f t="shared" ref="B152:AB152" si="36">(B160+B168+B176+B184)/4</f>
        <v>6.25</v>
      </c>
      <c r="C152" s="1153">
        <f t="shared" si="36"/>
        <v>4.958333333333333</v>
      </c>
      <c r="D152" s="1152">
        <f t="shared" si="36"/>
        <v>6.875</v>
      </c>
      <c r="E152" s="1153">
        <f t="shared" si="36"/>
        <v>3.75</v>
      </c>
      <c r="F152" s="1152">
        <f t="shared" si="36"/>
        <v>5.625</v>
      </c>
      <c r="G152" s="1153">
        <f t="shared" si="36"/>
        <v>7.75</v>
      </c>
      <c r="H152" s="1152">
        <f t="shared" si="36"/>
        <v>6.625</v>
      </c>
      <c r="I152" s="1153">
        <f t="shared" si="36"/>
        <v>7.5</v>
      </c>
      <c r="J152" s="1152">
        <f t="shared" si="36"/>
        <v>6.75</v>
      </c>
      <c r="K152" s="1153">
        <f t="shared" si="36"/>
        <v>7.5</v>
      </c>
      <c r="L152" s="1152">
        <f t="shared" si="36"/>
        <v>7.375</v>
      </c>
      <c r="M152" s="1153">
        <f t="shared" si="36"/>
        <v>5.333333333333333</v>
      </c>
      <c r="N152" s="1154">
        <f t="shared" si="36"/>
        <v>6.875</v>
      </c>
      <c r="O152" s="1154">
        <f t="shared" si="36"/>
        <v>4.375</v>
      </c>
      <c r="P152" s="1154">
        <f t="shared" si="36"/>
        <v>4.875</v>
      </c>
      <c r="Q152" s="1154">
        <f t="shared" si="36"/>
        <v>5.916666666666667</v>
      </c>
      <c r="R152" s="1154">
        <f t="shared" si="36"/>
        <v>5</v>
      </c>
      <c r="S152" s="1152">
        <f t="shared" si="36"/>
        <v>5.708333333333333</v>
      </c>
      <c r="T152" s="1154">
        <f t="shared" si="36"/>
        <v>7.25</v>
      </c>
      <c r="U152" s="1154">
        <f t="shared" si="36"/>
        <v>4.875</v>
      </c>
      <c r="V152" s="1154">
        <f t="shared" si="36"/>
        <v>5.541666666666667</v>
      </c>
      <c r="W152" s="1153">
        <f t="shared" si="36"/>
        <v>4.875</v>
      </c>
      <c r="X152" s="1154">
        <f t="shared" si="36"/>
        <v>4.1666666666666661</v>
      </c>
      <c r="Y152" s="1154">
        <f t="shared" si="36"/>
        <v>6</v>
      </c>
      <c r="Z152" s="1154">
        <f t="shared" si="36"/>
        <v>4.5</v>
      </c>
      <c r="AA152" s="1154">
        <f t="shared" si="36"/>
        <v>6.25</v>
      </c>
      <c r="AB152" s="1153">
        <f t="shared" si="36"/>
        <v>2.25</v>
      </c>
      <c r="AC152" s="1002">
        <f>AC148/AC149</f>
        <v>5.732057416267943</v>
      </c>
    </row>
    <row r="153" spans="1:29">
      <c r="A153" s="1003" t="s">
        <v>8</v>
      </c>
      <c r="B153" s="1004">
        <f t="shared" ref="B153:AB153" si="37">(B161+B169+B177+B185)/4</f>
        <v>2</v>
      </c>
      <c r="C153" s="1005">
        <f t="shared" si="37"/>
        <v>5.75</v>
      </c>
      <c r="D153" s="1109">
        <f t="shared" si="37"/>
        <v>6.875</v>
      </c>
      <c r="E153" s="1006">
        <f t="shared" si="37"/>
        <v>4.75</v>
      </c>
      <c r="F153" s="1155">
        <f t="shared" si="37"/>
        <v>7.875</v>
      </c>
      <c r="G153" s="1110">
        <f t="shared" si="37"/>
        <v>7.75</v>
      </c>
      <c r="H153" s="1109">
        <f t="shared" si="37"/>
        <v>6.625</v>
      </c>
      <c r="I153" s="1111">
        <f t="shared" si="37"/>
        <v>8.875</v>
      </c>
      <c r="J153" s="1004">
        <f t="shared" si="37"/>
        <v>6.75</v>
      </c>
      <c r="K153" s="1112">
        <f t="shared" si="37"/>
        <v>7.5</v>
      </c>
      <c r="L153" s="1109">
        <f t="shared" si="37"/>
        <v>7.375</v>
      </c>
      <c r="M153" s="1006">
        <f t="shared" si="37"/>
        <v>7.208333333333333</v>
      </c>
      <c r="N153" s="1005">
        <f t="shared" si="37"/>
        <v>7.875</v>
      </c>
      <c r="O153" s="1005">
        <f t="shared" si="37"/>
        <v>4.375</v>
      </c>
      <c r="P153" s="1005">
        <f t="shared" si="37"/>
        <v>6.75</v>
      </c>
      <c r="Q153" s="1005">
        <f t="shared" si="37"/>
        <v>7.75</v>
      </c>
      <c r="R153" s="1005">
        <f t="shared" si="37"/>
        <v>6.25</v>
      </c>
      <c r="S153" s="1004">
        <f t="shared" si="37"/>
        <v>6.25</v>
      </c>
      <c r="T153" s="1005">
        <f t="shared" si="37"/>
        <v>7.25</v>
      </c>
      <c r="U153" s="1005">
        <f t="shared" si="37"/>
        <v>4.875</v>
      </c>
      <c r="V153" s="1005">
        <f t="shared" si="37"/>
        <v>7.625</v>
      </c>
      <c r="W153" s="1006">
        <f t="shared" si="37"/>
        <v>6.5</v>
      </c>
      <c r="X153" s="1005">
        <f t="shared" si="37"/>
        <v>4.9166666666666661</v>
      </c>
      <c r="Y153" s="1005">
        <f t="shared" si="37"/>
        <v>7.375</v>
      </c>
      <c r="Z153" s="1005">
        <f t="shared" si="37"/>
        <v>5.375</v>
      </c>
      <c r="AA153" s="1005">
        <f t="shared" si="37"/>
        <v>6.625</v>
      </c>
      <c r="AB153" s="1110">
        <f t="shared" si="37"/>
        <v>3.625</v>
      </c>
      <c r="AC153" s="1007">
        <f>AC148/(AC149-AC150)</f>
        <v>6.9651162790697674</v>
      </c>
    </row>
    <row r="154" spans="1:29" ht="3" customHeight="1">
      <c r="M154" s="1129"/>
    </row>
    <row r="155" spans="1:29" hidden="1" outlineLevel="1">
      <c r="A155" s="1140" t="s">
        <v>1</v>
      </c>
      <c r="B155" s="1141"/>
      <c r="C155" s="1142"/>
      <c r="D155" s="1141"/>
      <c r="E155" s="1143"/>
      <c r="F155" s="1142"/>
      <c r="G155" s="1143"/>
      <c r="H155" s="1141"/>
      <c r="I155" s="1143"/>
      <c r="J155" s="1141"/>
      <c r="K155" s="1143"/>
      <c r="L155" s="1141"/>
      <c r="M155" s="1143"/>
      <c r="N155" s="1142"/>
      <c r="O155" s="1142"/>
      <c r="P155" s="1142"/>
      <c r="Q155" s="1142"/>
      <c r="R155" s="1142"/>
      <c r="S155" s="1142"/>
      <c r="T155" s="1142"/>
      <c r="U155" s="1142"/>
      <c r="V155" s="1142"/>
      <c r="W155" s="1142"/>
      <c r="X155" s="1142"/>
      <c r="Y155" s="1142"/>
      <c r="Z155" s="1142"/>
      <c r="AA155" s="1142"/>
      <c r="AB155" s="1143"/>
      <c r="AC155" s="1140"/>
    </row>
    <row r="156" spans="1:29" hidden="1" outlineLevel="1">
      <c r="A156" s="971" t="s">
        <v>3</v>
      </c>
      <c r="B156" s="1021">
        <f>'Gruppe A'!W79</f>
        <v>16</v>
      </c>
      <c r="C156" s="1022">
        <f>'Gruppe A'!AP35</f>
        <v>13</v>
      </c>
      <c r="D156" s="1021">
        <f>'Gruppe A'!AC35</f>
        <v>14</v>
      </c>
      <c r="E156" s="1022">
        <f>'Gruppe A'!W60</f>
        <v>8</v>
      </c>
      <c r="F156" s="1021">
        <f>'Gruppe A'!W102</f>
        <v>15</v>
      </c>
      <c r="G156" s="1022">
        <f>'Gruppe A'!BC35</f>
        <v>14</v>
      </c>
      <c r="H156" s="1021">
        <f>'Gruppe A'!C35</f>
        <v>19</v>
      </c>
      <c r="I156" s="1022">
        <f>'Gruppe A'!W14</f>
        <v>11</v>
      </c>
      <c r="J156" s="1021">
        <f>'Gruppe A'!W124</f>
        <v>23</v>
      </c>
      <c r="K156" s="1022">
        <f>'Gruppe A'!BP35</f>
        <v>22</v>
      </c>
      <c r="L156" s="1021">
        <f>'Gruppe A'!CC35</f>
        <v>17</v>
      </c>
      <c r="M156" s="1023">
        <f>'Gruppe A'!W148</f>
        <v>22</v>
      </c>
      <c r="N156" s="1022">
        <f>'Spiel 7 - Viertelfinal'!B89</f>
        <v>17</v>
      </c>
      <c r="O156" s="1022">
        <f>'Spiel 7 - Viertelfinal'!V89</f>
        <v>13</v>
      </c>
      <c r="P156" s="1022">
        <f>'Spiel 7 - Viertelfinal'!AB89</f>
        <v>11</v>
      </c>
      <c r="Q156" s="1022">
        <f>'Spiel 7 - Viertelfinal'!AY89</f>
        <v>15</v>
      </c>
      <c r="R156" s="1022">
        <f>'Spiel 7 - Viertelfinal'!BD89</f>
        <v>10</v>
      </c>
      <c r="S156" s="1021">
        <f>'Spiel 8 - Halbfinal'!I38</f>
        <v>13</v>
      </c>
      <c r="T156" s="1022">
        <f>'Spiel 8 - Halbfinal'!O38</f>
        <v>18</v>
      </c>
      <c r="U156" s="1022">
        <f>'Spiel 8 - Halbfinal'!AI38</f>
        <v>13</v>
      </c>
      <c r="V156" s="1022">
        <f>'Spiel 8 - Halbfinal'!AO38</f>
        <v>17</v>
      </c>
      <c r="W156" s="1023">
        <f>'Spiel 8 - Halbfinal'!BI38</f>
        <v>14</v>
      </c>
      <c r="X156" s="1022">
        <f>'Spiel 9 - Final'!B19</f>
        <v>18</v>
      </c>
      <c r="Y156" s="1022">
        <f>'Spiel 9 - Final'!V19</f>
        <v>17</v>
      </c>
      <c r="Z156" s="1022">
        <f>'Spiel 9 - Final'!AB19</f>
        <v>23</v>
      </c>
      <c r="AA156" s="1022">
        <f>'Spiel 9 - Final'!AV19</f>
        <v>19</v>
      </c>
      <c r="AB156" s="1156">
        <f>'Spiel 9 - Final'!BD19</f>
        <v>-12</v>
      </c>
      <c r="AC156" s="979">
        <f>SUM(B156:AB156)</f>
        <v>400</v>
      </c>
    </row>
    <row r="157" spans="1:29" hidden="1" outlineLevel="1">
      <c r="A157" s="971" t="s">
        <v>4</v>
      </c>
      <c r="B157" s="1027">
        <f>'Gruppe A'!W80</f>
        <v>2</v>
      </c>
      <c r="C157" s="113">
        <f>'Gruppe A'!AP36</f>
        <v>3</v>
      </c>
      <c r="D157" s="1028">
        <f>'Gruppe A'!AC36</f>
        <v>2</v>
      </c>
      <c r="E157" s="1029">
        <f>'Gruppe A'!W61</f>
        <v>2</v>
      </c>
      <c r="F157" s="113">
        <f>'Gruppe A'!W103</f>
        <v>2</v>
      </c>
      <c r="G157" s="1031">
        <f>'Gruppe A'!BC36</f>
        <v>2</v>
      </c>
      <c r="H157" s="1027">
        <f>'Gruppe A'!C36</f>
        <v>2</v>
      </c>
      <c r="I157" s="1029">
        <f>'Gruppe A'!W15</f>
        <v>2</v>
      </c>
      <c r="J157" s="1028">
        <f>'Gruppe A'!W125</f>
        <v>2</v>
      </c>
      <c r="K157" s="1079">
        <f>'Gruppe A'!BP36</f>
        <v>2</v>
      </c>
      <c r="L157" s="1027">
        <f>'Gruppe A'!CC36</f>
        <v>2</v>
      </c>
      <c r="M157" s="1031">
        <f>'Gruppe A'!W149</f>
        <v>3</v>
      </c>
      <c r="N157" s="1079">
        <f>'Spiel 7 - Viertelfinal'!B90</f>
        <v>2</v>
      </c>
      <c r="O157" s="1079">
        <f>'Spiel 7 - Viertelfinal'!V90</f>
        <v>2</v>
      </c>
      <c r="P157" s="1079">
        <f>'Spiel 7 - Viertelfinal'!AB90</f>
        <v>2</v>
      </c>
      <c r="Q157" s="1079">
        <f>'Spiel 7 - Viertelfinal'!AY90</f>
        <v>2</v>
      </c>
      <c r="R157" s="1079">
        <f>'Spiel 7 - Viertelfinal'!BD90</f>
        <v>2</v>
      </c>
      <c r="S157" s="1027">
        <f>'Spiel 8 - Halbfinal'!I39</f>
        <v>3</v>
      </c>
      <c r="T157" s="1079">
        <f>'Spiel 8 - Halbfinal'!O39</f>
        <v>2</v>
      </c>
      <c r="U157" s="1079">
        <f>'Spiel 8 - Halbfinal'!AI39</f>
        <v>2</v>
      </c>
      <c r="V157" s="1079">
        <f>'Spiel 8 - Halbfinal'!AO39</f>
        <v>3</v>
      </c>
      <c r="W157" s="1031">
        <f>'Spiel 8 - Halbfinal'!BI39</f>
        <v>2</v>
      </c>
      <c r="X157" s="1079">
        <f>'Spiel 9 - Final'!B20</f>
        <v>3</v>
      </c>
      <c r="Y157" s="1079">
        <f>'Spiel 9 - Final'!V20</f>
        <v>2</v>
      </c>
      <c r="Z157" s="1079">
        <f>'Spiel 9 - Final'!AB20</f>
        <v>2</v>
      </c>
      <c r="AA157" s="1079">
        <f>'Spiel 9 - Final'!AV20</f>
        <v>2</v>
      </c>
      <c r="AB157" s="1030">
        <f>'Spiel 9 - Final'!BD20</f>
        <v>3</v>
      </c>
      <c r="AC157" s="985">
        <f>SUM(B157:AB157)</f>
        <v>60</v>
      </c>
    </row>
    <row r="158" spans="1:29" hidden="1" outlineLevel="1">
      <c r="A158" s="971" t="s">
        <v>6</v>
      </c>
      <c r="B158" s="972">
        <f>'Gruppe A'!W81</f>
        <v>0</v>
      </c>
      <c r="C158" s="1029">
        <f>'Gruppe A'!AP37</f>
        <v>1</v>
      </c>
      <c r="D158" s="972">
        <f>'Gruppe A'!AC37</f>
        <v>0</v>
      </c>
      <c r="E158" s="1029">
        <f>'Gruppe A'!W62</f>
        <v>1</v>
      </c>
      <c r="F158" s="972">
        <f>'Gruppe A'!W104</f>
        <v>0</v>
      </c>
      <c r="G158" s="978">
        <f>'Gruppe A'!BC37</f>
        <v>0</v>
      </c>
      <c r="H158" s="972">
        <f>'Gruppe A'!C37</f>
        <v>0</v>
      </c>
      <c r="I158" s="1029">
        <f>'Gruppe A'!W16</f>
        <v>1</v>
      </c>
      <c r="J158" s="972">
        <f>'Gruppe A'!W126</f>
        <v>0</v>
      </c>
      <c r="K158" s="973">
        <f>'Gruppe A'!BP37</f>
        <v>0</v>
      </c>
      <c r="L158" s="972">
        <f>'Gruppe A'!CC37</f>
        <v>0</v>
      </c>
      <c r="M158" s="978">
        <f>'Gruppe A'!W150</f>
        <v>0</v>
      </c>
      <c r="N158" s="973">
        <f>'Spiel 7 - Viertelfinal'!B91</f>
        <v>0</v>
      </c>
      <c r="O158" s="973">
        <f>'Spiel 7 - Viertelfinal'!V91</f>
        <v>0</v>
      </c>
      <c r="P158" s="1079">
        <f>'Spiel 7 - Viertelfinal'!AB91</f>
        <v>1</v>
      </c>
      <c r="Q158" s="973">
        <f>'Spiel 7 - Viertelfinal'!AY91</f>
        <v>0</v>
      </c>
      <c r="R158" s="973">
        <f>'Spiel 7 - Viertelfinal'!BD91</f>
        <v>0</v>
      </c>
      <c r="S158" s="1027">
        <f>'Spiel 8 - Halbfinal'!I40</f>
        <v>1</v>
      </c>
      <c r="T158" s="973">
        <f>'Spiel 8 - Halbfinal'!O40</f>
        <v>0</v>
      </c>
      <c r="U158" s="973">
        <f>'Spiel 8 - Halbfinal'!AI40</f>
        <v>0</v>
      </c>
      <c r="V158" s="1079">
        <f>'Spiel 8 - Halbfinal'!AO40</f>
        <v>1</v>
      </c>
      <c r="W158" s="978">
        <f>'Spiel 8 - Halbfinal'!BI40</f>
        <v>0</v>
      </c>
      <c r="X158" s="1079">
        <f>'Spiel 9 - Final'!B21</f>
        <v>1</v>
      </c>
      <c r="Y158" s="973">
        <f>'Spiel 9 - Final'!V21</f>
        <v>0</v>
      </c>
      <c r="Z158" s="973">
        <f>'Spiel 9 - Final'!AB21</f>
        <v>0</v>
      </c>
      <c r="AA158" s="973">
        <f>'Spiel 9 - Final'!AV21</f>
        <v>0</v>
      </c>
      <c r="AB158" s="978">
        <f>'Spiel 9 - Final'!BD21</f>
        <v>0</v>
      </c>
      <c r="AC158" s="987">
        <f>SUM(B158:AB158)</f>
        <v>7</v>
      </c>
    </row>
    <row r="159" spans="1:29" hidden="1" outlineLevel="1">
      <c r="A159" s="971" t="s">
        <v>12</v>
      </c>
      <c r="B159" s="1043">
        <f>'Gruppe A'!W82</f>
        <v>0</v>
      </c>
      <c r="C159" s="1041">
        <f>'Gruppe A'!AP38</f>
        <v>0.33333333333333331</v>
      </c>
      <c r="D159" s="1043">
        <f>'Gruppe A'!AC38</f>
        <v>0</v>
      </c>
      <c r="E159" s="1041">
        <f>'Gruppe A'!W63</f>
        <v>0.5</v>
      </c>
      <c r="F159" s="1043">
        <f>'Gruppe A'!W105</f>
        <v>0</v>
      </c>
      <c r="G159" s="1042">
        <f>'Gruppe A'!BC38</f>
        <v>0</v>
      </c>
      <c r="H159" s="1043">
        <f>'Gruppe A'!C38</f>
        <v>0</v>
      </c>
      <c r="I159" s="1041">
        <f>'Gruppe A'!W17</f>
        <v>0.5</v>
      </c>
      <c r="J159" s="1043">
        <f>'Gruppe A'!W127</f>
        <v>0</v>
      </c>
      <c r="K159" s="1042">
        <f>'Gruppe A'!BP38</f>
        <v>0</v>
      </c>
      <c r="L159" s="1043">
        <f>'Gruppe A'!CC38</f>
        <v>0</v>
      </c>
      <c r="M159" s="1042">
        <f>'Gruppe A'!W151</f>
        <v>0</v>
      </c>
      <c r="N159" s="989">
        <f>'Spiel 7 - Viertelfinal'!B92</f>
        <v>0</v>
      </c>
      <c r="O159" s="989">
        <f>'Spiel 7 - Viertelfinal'!V92</f>
        <v>0</v>
      </c>
      <c r="P159" s="1044">
        <f>'Spiel 7 - Viertelfinal'!AB92</f>
        <v>0.5</v>
      </c>
      <c r="Q159" s="989">
        <f>'Spiel 7 - Viertelfinal'!AY92</f>
        <v>0</v>
      </c>
      <c r="R159" s="989">
        <f>'Spiel 7 - Viertelfinal'!BD92</f>
        <v>0</v>
      </c>
      <c r="S159" s="1039">
        <f>'Spiel 8 - Halbfinal'!I41</f>
        <v>0.33333333333333331</v>
      </c>
      <c r="T159" s="989">
        <f>'Spiel 8 - Halbfinal'!O41</f>
        <v>0</v>
      </c>
      <c r="U159" s="989">
        <f>'Spiel 8 - Halbfinal'!AI41</f>
        <v>0</v>
      </c>
      <c r="V159" s="1044">
        <f>'Spiel 8 - Halbfinal'!AO41</f>
        <v>0.33333333333333331</v>
      </c>
      <c r="W159" s="1042">
        <f>'Spiel 8 - Halbfinal'!BI41</f>
        <v>0</v>
      </c>
      <c r="X159" s="1044">
        <f>'Spiel 9 - Final'!B22</f>
        <v>0.33333333333333331</v>
      </c>
      <c r="Y159" s="989">
        <f>'Spiel 9 - Final'!V22</f>
        <v>0</v>
      </c>
      <c r="Z159" s="989">
        <f>'Spiel 9 - Final'!AB22</f>
        <v>0</v>
      </c>
      <c r="AA159" s="989">
        <f>'Spiel 9 - Final'!AV22</f>
        <v>0</v>
      </c>
      <c r="AB159" s="1042">
        <f>'Spiel 9 - Final'!BD22</f>
        <v>0</v>
      </c>
      <c r="AC159" s="996">
        <f>AC158/AC157</f>
        <v>0.11666666666666667</v>
      </c>
    </row>
    <row r="160" spans="1:29" hidden="1" outlineLevel="1">
      <c r="A160" s="971" t="s">
        <v>5</v>
      </c>
      <c r="B160" s="1157">
        <f>'Gruppe A'!W83</f>
        <v>8</v>
      </c>
      <c r="C160" s="1158">
        <f>'Gruppe A'!AP39</f>
        <v>4.333333333333333</v>
      </c>
      <c r="D160" s="1157">
        <f>'Gruppe A'!AC39</f>
        <v>7</v>
      </c>
      <c r="E160" s="1158">
        <f>'Gruppe A'!W64</f>
        <v>4</v>
      </c>
      <c r="F160" s="1157">
        <f>'Gruppe A'!W106</f>
        <v>7.5</v>
      </c>
      <c r="G160" s="1158">
        <f>'Gruppe A'!BC39</f>
        <v>7</v>
      </c>
      <c r="H160" s="1157">
        <f>'Gruppe A'!C39</f>
        <v>9.5</v>
      </c>
      <c r="I160" s="1158">
        <f>'Gruppe A'!W18</f>
        <v>5.5</v>
      </c>
      <c r="J160" s="1157">
        <f>'Gruppe A'!W128</f>
        <v>11.5</v>
      </c>
      <c r="K160" s="1158">
        <f>'Gruppe A'!BP39</f>
        <v>11</v>
      </c>
      <c r="L160" s="1157">
        <f>'Gruppe A'!CC39</f>
        <v>8.5</v>
      </c>
      <c r="M160" s="1158">
        <f>'Gruppe A'!W152</f>
        <v>7.333333333333333</v>
      </c>
      <c r="N160" s="1159">
        <f>'Spiel 7 - Viertelfinal'!B93</f>
        <v>8.5</v>
      </c>
      <c r="O160" s="1159">
        <f>'Spiel 7 - Viertelfinal'!V93</f>
        <v>6.5</v>
      </c>
      <c r="P160" s="1159">
        <f>'Spiel 7 - Viertelfinal'!AB93</f>
        <v>5.5</v>
      </c>
      <c r="Q160" s="1159">
        <f>'Spiel 7 - Viertelfinal'!AY93</f>
        <v>7.5</v>
      </c>
      <c r="R160" s="1159">
        <f>'Spiel 7 - Viertelfinal'!BD93</f>
        <v>5</v>
      </c>
      <c r="S160" s="1157">
        <f>'Spiel 8 - Halbfinal'!I42</f>
        <v>4.333333333333333</v>
      </c>
      <c r="T160" s="1159">
        <f>'Spiel 8 - Halbfinal'!O42</f>
        <v>9</v>
      </c>
      <c r="U160" s="1159">
        <f>'Spiel 8 - Halbfinal'!AI42</f>
        <v>6.5</v>
      </c>
      <c r="V160" s="1159">
        <f>'Spiel 8 - Halbfinal'!AO42</f>
        <v>5.666666666666667</v>
      </c>
      <c r="W160" s="1158">
        <f>'Spiel 8 - Halbfinal'!BI42</f>
        <v>7</v>
      </c>
      <c r="X160" s="1159">
        <f>'Spiel 9 - Final'!B23</f>
        <v>6</v>
      </c>
      <c r="Y160" s="1159">
        <f>'Spiel 9 - Final'!V23</f>
        <v>8.5</v>
      </c>
      <c r="Z160" s="1159">
        <f>'Spiel 9 - Final'!AB23</f>
        <v>11.5</v>
      </c>
      <c r="AA160" s="1159">
        <f>'Spiel 9 - Final'!AV23</f>
        <v>9.5</v>
      </c>
      <c r="AB160" s="1158">
        <f>'Spiel 9 - Final'!BD23</f>
        <v>-4</v>
      </c>
      <c r="AC160" s="1002">
        <f>AC156/AC157</f>
        <v>6.666666666666667</v>
      </c>
    </row>
    <row r="161" spans="1:29" hidden="1" outlineLevel="1">
      <c r="A161" s="1003" t="s">
        <v>8</v>
      </c>
      <c r="B161" s="1053">
        <f>'Gruppe A'!W84</f>
        <v>8</v>
      </c>
      <c r="C161" s="1091">
        <f>'Gruppe A'!AP40</f>
        <v>6.5</v>
      </c>
      <c r="D161" s="1055">
        <f>'Gruppe A'!AC40</f>
        <v>7</v>
      </c>
      <c r="E161" s="1058">
        <f>'Gruppe A'!W65</f>
        <v>8</v>
      </c>
      <c r="F161" s="1160">
        <f>'Gruppe A'!W107</f>
        <v>7.5</v>
      </c>
      <c r="G161" s="1057">
        <f>'Gruppe A'!BC40</f>
        <v>7</v>
      </c>
      <c r="H161" s="1055">
        <f>'Gruppe A'!C40</f>
        <v>9.5</v>
      </c>
      <c r="I161" s="1056">
        <f>'Gruppe A'!W19</f>
        <v>11</v>
      </c>
      <c r="J161" s="1053">
        <f>'Gruppe A'!W129</f>
        <v>11.5</v>
      </c>
      <c r="K161" s="1054">
        <f>'Gruppe A'!BP40</f>
        <v>11</v>
      </c>
      <c r="L161" s="1055">
        <f>'Gruppe A'!CC40</f>
        <v>8.5</v>
      </c>
      <c r="M161" s="1058">
        <f>'Gruppe A'!W153</f>
        <v>7.333333333333333</v>
      </c>
      <c r="N161" s="1091">
        <f>'Spiel 7 - Viertelfinal'!B94</f>
        <v>8.5</v>
      </c>
      <c r="O161" s="1091">
        <f>'Spiel 7 - Viertelfinal'!V94</f>
        <v>6.5</v>
      </c>
      <c r="P161" s="1091">
        <f>'Spiel 7 - Viertelfinal'!AB94</f>
        <v>11</v>
      </c>
      <c r="Q161" s="1091">
        <f>'Spiel 7 - Viertelfinal'!AY94</f>
        <v>7.5</v>
      </c>
      <c r="R161" s="1091">
        <f>'Spiel 7 - Viertelfinal'!BD94</f>
        <v>5</v>
      </c>
      <c r="S161" s="1053">
        <f>'Spiel 8 - Halbfinal'!I43</f>
        <v>6.5</v>
      </c>
      <c r="T161" s="1091">
        <f>'Spiel 8 - Halbfinal'!O43</f>
        <v>9</v>
      </c>
      <c r="U161" s="1091">
        <f>'Spiel 8 - Halbfinal'!AI43</f>
        <v>6.5</v>
      </c>
      <c r="V161" s="1091">
        <f>'Spiel 8 - Halbfinal'!AO43</f>
        <v>8.5</v>
      </c>
      <c r="W161" s="1058">
        <f>'Spiel 8 - Halbfinal'!BI43</f>
        <v>7</v>
      </c>
      <c r="X161" s="1091">
        <f>'Spiel 9 - Final'!B24</f>
        <v>9</v>
      </c>
      <c r="Y161" s="1091">
        <f>'Spiel 9 - Final'!V24</f>
        <v>8.5</v>
      </c>
      <c r="Z161" s="1091">
        <f>'Spiel 9 - Final'!AB24</f>
        <v>11.5</v>
      </c>
      <c r="AA161" s="1091">
        <f>'Spiel 9 - Final'!AV24</f>
        <v>9.5</v>
      </c>
      <c r="AB161" s="1057">
        <f>'Spiel 9 - Final'!BD24</f>
        <v>-4</v>
      </c>
      <c r="AC161" s="1007">
        <f>AC156/(AC157-AC158)</f>
        <v>7.5471698113207548</v>
      </c>
    </row>
    <row r="162" spans="1:29" ht="3" hidden="1" customHeight="1" outlineLevel="1">
      <c r="M162" s="1129"/>
    </row>
    <row r="163" spans="1:29" hidden="1" outlineLevel="1">
      <c r="A163" s="1140" t="s">
        <v>104</v>
      </c>
      <c r="B163" s="1548"/>
      <c r="C163" s="1549"/>
      <c r="D163" s="1141"/>
      <c r="E163" s="1143"/>
      <c r="F163" s="1142"/>
      <c r="G163" s="1143"/>
      <c r="H163" s="1141"/>
      <c r="I163" s="1143"/>
      <c r="J163" s="1141"/>
      <c r="K163" s="1143"/>
      <c r="L163" s="1141"/>
      <c r="M163" s="1143"/>
      <c r="N163" s="1142"/>
      <c r="O163" s="1142"/>
      <c r="P163" s="1142"/>
      <c r="Q163" s="1142"/>
      <c r="R163" s="1142"/>
      <c r="S163" s="1142"/>
      <c r="T163" s="1142"/>
      <c r="U163" s="1142"/>
      <c r="V163" s="1142"/>
      <c r="W163" s="1142"/>
      <c r="X163" s="1142"/>
      <c r="Y163" s="1142"/>
      <c r="Z163" s="1142"/>
      <c r="AA163" s="1142"/>
      <c r="AB163" s="1143"/>
      <c r="AC163" s="1140"/>
    </row>
    <row r="164" spans="1:29" hidden="1" outlineLevel="1">
      <c r="A164" s="971" t="s">
        <v>3</v>
      </c>
      <c r="B164" s="1021">
        <f>'Gruppe A'!X79</f>
        <v>17</v>
      </c>
      <c r="C164" s="1022">
        <f>'Gruppe A'!AQ35</f>
        <v>18</v>
      </c>
      <c r="D164" s="1021">
        <f>'Gruppe A'!AD35</f>
        <v>12</v>
      </c>
      <c r="E164" s="1022">
        <f>'Gruppe A'!X60</f>
        <v>12</v>
      </c>
      <c r="F164" s="1021">
        <f>'Gruppe A'!X102</f>
        <v>6</v>
      </c>
      <c r="G164" s="1022">
        <f>'Gruppe A'!BD35</f>
        <v>24</v>
      </c>
      <c r="H164" s="1021">
        <f>'Gruppe A'!D35</f>
        <v>11</v>
      </c>
      <c r="I164" s="1022">
        <f>'Gruppe A'!X14</f>
        <v>13</v>
      </c>
      <c r="J164" s="1021">
        <f>'Gruppe A'!X124</f>
        <v>8</v>
      </c>
      <c r="K164" s="1022">
        <f>'Gruppe A'!BQ35</f>
        <v>18</v>
      </c>
      <c r="L164" s="1021">
        <f>'Gruppe A'!CD35</f>
        <v>24</v>
      </c>
      <c r="M164" s="1023">
        <f>'Gruppe A'!X148</f>
        <v>6</v>
      </c>
      <c r="N164" s="1022">
        <f>'Spiel 7 - Viertelfinal'!C89</f>
        <v>8</v>
      </c>
      <c r="O164" s="1022">
        <f>'Spiel 7 - Viertelfinal'!W89</f>
        <v>14</v>
      </c>
      <c r="P164" s="1022">
        <f>'Spiel 7 - Viertelfinal'!AC89</f>
        <v>13</v>
      </c>
      <c r="Q164" s="1022">
        <f>'Spiel 7 - Viertelfinal'!AX89</f>
        <v>15</v>
      </c>
      <c r="R164" s="1022">
        <f>'Spiel 7 - Viertelfinal'!BC89</f>
        <v>7</v>
      </c>
      <c r="S164" s="1021">
        <f>'Spiel 8 - Halbfinal'!J38</f>
        <v>14</v>
      </c>
      <c r="T164" s="1022">
        <f>'Spiel 8 - Halbfinal'!P38</f>
        <v>12</v>
      </c>
      <c r="U164" s="1022">
        <f>'Spiel 8 - Halbfinal'!AJ38</f>
        <v>12</v>
      </c>
      <c r="V164" s="1022">
        <f>'Spiel 8 - Halbfinal'!AP38</f>
        <v>11</v>
      </c>
      <c r="W164" s="1023">
        <f>'Spiel 8 - Halbfinal'!BJ38</f>
        <v>3</v>
      </c>
      <c r="X164" s="1022">
        <f>'Spiel 9 - Final'!C19</f>
        <v>16</v>
      </c>
      <c r="Y164" s="1022">
        <f>'Spiel 9 - Final'!W19</f>
        <v>11</v>
      </c>
      <c r="Z164" s="1161">
        <f>'Spiel 9 - Final'!AC19</f>
        <v>-12</v>
      </c>
      <c r="AA164" s="1022">
        <f>'Spiel 9 - Final'!AW19</f>
        <v>20</v>
      </c>
      <c r="AB164" s="1023">
        <f>'Spiel 9 - Final'!BC19</f>
        <v>9</v>
      </c>
      <c r="AC164" s="979">
        <f>SUM(B164:AB164)</f>
        <v>322</v>
      </c>
    </row>
    <row r="165" spans="1:29" hidden="1" outlineLevel="1">
      <c r="A165" s="971" t="s">
        <v>4</v>
      </c>
      <c r="B165" s="1027">
        <f>'Gruppe A'!X80</f>
        <v>2</v>
      </c>
      <c r="C165" s="113">
        <f>'Gruppe A'!AQ36</f>
        <v>3</v>
      </c>
      <c r="D165" s="1028">
        <f>'Gruppe A'!AD36</f>
        <v>2</v>
      </c>
      <c r="E165" s="1029">
        <f>'Gruppe A'!X61</f>
        <v>2</v>
      </c>
      <c r="F165" s="113">
        <f>'Gruppe A'!X103</f>
        <v>2</v>
      </c>
      <c r="G165" s="1031">
        <f>'Gruppe A'!BD36</f>
        <v>2</v>
      </c>
      <c r="H165" s="1027">
        <f>'Gruppe A'!D36</f>
        <v>2</v>
      </c>
      <c r="I165" s="1029">
        <f>'Gruppe A'!X15</f>
        <v>2</v>
      </c>
      <c r="J165" s="1028">
        <f>'Gruppe A'!X125</f>
        <v>2</v>
      </c>
      <c r="K165" s="1079">
        <f>'Gruppe A'!BQ36</f>
        <v>2</v>
      </c>
      <c r="L165" s="1027">
        <f>'Gruppe A'!CD36</f>
        <v>2</v>
      </c>
      <c r="M165" s="1031">
        <f>'Gruppe A'!X149</f>
        <v>2</v>
      </c>
      <c r="N165" s="1079">
        <f>'Spiel 7 - Viertelfinal'!C90</f>
        <v>2</v>
      </c>
      <c r="O165" s="1079">
        <f>'Spiel 7 - Viertelfinal'!W90</f>
        <v>2</v>
      </c>
      <c r="P165" s="1079">
        <f>'Spiel 7 - Viertelfinal'!AC90</f>
        <v>2</v>
      </c>
      <c r="Q165" s="1079">
        <f>'Spiel 7 - Viertelfinal'!AX90</f>
        <v>2</v>
      </c>
      <c r="R165" s="1079">
        <f>'Spiel 7 - Viertelfinal'!BC90</f>
        <v>2</v>
      </c>
      <c r="S165" s="1027">
        <f>'Spiel 8 - Halbfinal'!J39</f>
        <v>2</v>
      </c>
      <c r="T165" s="1079">
        <f>'Spiel 8 - Halbfinal'!P39</f>
        <v>2</v>
      </c>
      <c r="U165" s="1079">
        <f>'Spiel 8 - Halbfinal'!AJ39</f>
        <v>2</v>
      </c>
      <c r="V165" s="1079">
        <f>'Spiel 8 - Halbfinal'!AP39</f>
        <v>2</v>
      </c>
      <c r="W165" s="1031">
        <f>'Spiel 8 - Halbfinal'!BJ39</f>
        <v>2</v>
      </c>
      <c r="X165" s="1079">
        <f>'Spiel 9 - Final'!C20</f>
        <v>3</v>
      </c>
      <c r="Y165" s="1079">
        <f>'Spiel 9 - Final'!W20</f>
        <v>2</v>
      </c>
      <c r="Z165" s="1079">
        <f>'Spiel 9 - Final'!AC20</f>
        <v>2</v>
      </c>
      <c r="AA165" s="1079">
        <f>'Spiel 9 - Final'!AW20</f>
        <v>2</v>
      </c>
      <c r="AB165" s="1030">
        <f>'Spiel 9 - Final'!BC20</f>
        <v>3</v>
      </c>
      <c r="AC165" s="985">
        <f>SUM(B165:AB165)</f>
        <v>57</v>
      </c>
    </row>
    <row r="166" spans="1:29" hidden="1" outlineLevel="1">
      <c r="A166" s="971" t="s">
        <v>6</v>
      </c>
      <c r="B166" s="972">
        <f>'Gruppe A'!X81</f>
        <v>0</v>
      </c>
      <c r="C166" s="978">
        <f>'Gruppe A'!AQ37</f>
        <v>0</v>
      </c>
      <c r="D166" s="972">
        <f>'Gruppe A'!AD37</f>
        <v>0</v>
      </c>
      <c r="E166" s="978">
        <f>'Gruppe A'!X62</f>
        <v>0</v>
      </c>
      <c r="F166" s="1028">
        <f>'Gruppe A'!X104</f>
        <v>1</v>
      </c>
      <c r="G166" s="978">
        <f>'Gruppe A'!BD37</f>
        <v>0</v>
      </c>
      <c r="H166" s="972">
        <f>'Gruppe A'!D37</f>
        <v>0</v>
      </c>
      <c r="I166" s="978">
        <f>'Gruppe A'!X16</f>
        <v>0</v>
      </c>
      <c r="J166" s="972">
        <f>'Gruppe A'!X126</f>
        <v>0</v>
      </c>
      <c r="K166" s="973">
        <f>'Gruppe A'!BQ37</f>
        <v>0</v>
      </c>
      <c r="L166" s="972">
        <f>'Gruppe A'!CD37</f>
        <v>0</v>
      </c>
      <c r="M166" s="1031">
        <f>'Gruppe A'!X150</f>
        <v>1</v>
      </c>
      <c r="N166" s="1079">
        <f>'Spiel 7 - Viertelfinal'!C91</f>
        <v>1</v>
      </c>
      <c r="O166" s="973">
        <f>'Spiel 7 - Viertelfinal'!W91</f>
        <v>0</v>
      </c>
      <c r="P166" s="973">
        <f>'Spiel 7 - Viertelfinal'!AC91</f>
        <v>0</v>
      </c>
      <c r="Q166" s="973">
        <f>'Spiel 7 - Viertelfinal'!AX91</f>
        <v>0</v>
      </c>
      <c r="R166" s="1079">
        <f>'Spiel 7 - Viertelfinal'!BC91</f>
        <v>1</v>
      </c>
      <c r="S166" s="972">
        <f>'Spiel 8 - Halbfinal'!J40</f>
        <v>0</v>
      </c>
      <c r="T166" s="973">
        <f>'Spiel 8 - Halbfinal'!P40</f>
        <v>0</v>
      </c>
      <c r="U166" s="973">
        <f>'Spiel 8 - Halbfinal'!AJ40</f>
        <v>0</v>
      </c>
      <c r="V166" s="973">
        <f>'Spiel 8 - Halbfinal'!AP40</f>
        <v>0</v>
      </c>
      <c r="W166" s="1031">
        <f>'Spiel 8 - Halbfinal'!BJ40</f>
        <v>1</v>
      </c>
      <c r="X166" s="973">
        <f>'Spiel 9 - Final'!C21</f>
        <v>0</v>
      </c>
      <c r="Y166" s="1079">
        <f>'Spiel 9 - Final'!W21</f>
        <v>1</v>
      </c>
      <c r="Z166" s="973">
        <f>'Spiel 9 - Final'!AC21</f>
        <v>0</v>
      </c>
      <c r="AA166" s="973">
        <f>'Spiel 9 - Final'!AW21</f>
        <v>0</v>
      </c>
      <c r="AB166" s="1030">
        <f>'Spiel 9 - Final'!BC21</f>
        <v>1</v>
      </c>
      <c r="AC166" s="987">
        <f>SUM(B166:AB166)</f>
        <v>7</v>
      </c>
    </row>
    <row r="167" spans="1:29" hidden="1" outlineLevel="1">
      <c r="A167" s="971" t="s">
        <v>12</v>
      </c>
      <c r="B167" s="1043">
        <f>'Gruppe A'!X82</f>
        <v>0</v>
      </c>
      <c r="C167" s="1042">
        <f>'Gruppe A'!AQ38</f>
        <v>0</v>
      </c>
      <c r="D167" s="1043">
        <f>'Gruppe A'!AD38</f>
        <v>0</v>
      </c>
      <c r="E167" s="1042">
        <f>'Gruppe A'!X63</f>
        <v>0</v>
      </c>
      <c r="F167" s="1039">
        <f>'Gruppe A'!X105</f>
        <v>0.5</v>
      </c>
      <c r="G167" s="1042">
        <f>'Gruppe A'!BD38</f>
        <v>0</v>
      </c>
      <c r="H167" s="1043">
        <f>'Gruppe A'!D38</f>
        <v>0</v>
      </c>
      <c r="I167" s="1042">
        <f>'Gruppe A'!X17</f>
        <v>0</v>
      </c>
      <c r="J167" s="1043">
        <f>'Gruppe A'!X127</f>
        <v>0</v>
      </c>
      <c r="K167" s="1042">
        <f>'Gruppe A'!BQ38</f>
        <v>0</v>
      </c>
      <c r="L167" s="1043">
        <f>'Gruppe A'!CD38</f>
        <v>0</v>
      </c>
      <c r="M167" s="1041">
        <f>'Gruppe A'!X151</f>
        <v>0.5</v>
      </c>
      <c r="N167" s="1044">
        <f>'Spiel 7 - Viertelfinal'!C92</f>
        <v>0.5</v>
      </c>
      <c r="O167" s="989">
        <f>'Spiel 7 - Viertelfinal'!W92</f>
        <v>0</v>
      </c>
      <c r="P167" s="989">
        <f>'Spiel 7 - Viertelfinal'!AC92</f>
        <v>0</v>
      </c>
      <c r="Q167" s="989">
        <f>'Spiel 7 - Viertelfinal'!AX92</f>
        <v>0</v>
      </c>
      <c r="R167" s="1044">
        <f>'Spiel 7 - Viertelfinal'!BC92</f>
        <v>0.5</v>
      </c>
      <c r="S167" s="1043">
        <f>'Spiel 8 - Halbfinal'!J41</f>
        <v>0</v>
      </c>
      <c r="T167" s="989">
        <f>'Spiel 8 - Halbfinal'!P41</f>
        <v>0</v>
      </c>
      <c r="U167" s="989">
        <f>'Spiel 8 - Halbfinal'!AJ41</f>
        <v>0</v>
      </c>
      <c r="V167" s="989">
        <f>'Spiel 8 - Halbfinal'!AP41</f>
        <v>0</v>
      </c>
      <c r="W167" s="1041">
        <f>'Spiel 8 - Halbfinal'!BJ41</f>
        <v>0.5</v>
      </c>
      <c r="X167" s="989">
        <f>'Spiel 9 - Final'!C22</f>
        <v>0</v>
      </c>
      <c r="Y167" s="1044">
        <f>'Spiel 9 - Final'!W22</f>
        <v>0.5</v>
      </c>
      <c r="Z167" s="989">
        <f>'Spiel 9 - Final'!AC22</f>
        <v>0</v>
      </c>
      <c r="AA167" s="989">
        <f>'Spiel 9 - Final'!AW22</f>
        <v>0</v>
      </c>
      <c r="AB167" s="1041">
        <f>'Spiel 9 - Final'!BC22</f>
        <v>0.33333333333333331</v>
      </c>
      <c r="AC167" s="996">
        <f>AC166/AC165</f>
        <v>0.12280701754385964</v>
      </c>
    </row>
    <row r="168" spans="1:29" hidden="1" outlineLevel="1">
      <c r="A168" s="971" t="s">
        <v>5</v>
      </c>
      <c r="B168" s="1157">
        <f>'Gruppe A'!X83</f>
        <v>8.5</v>
      </c>
      <c r="C168" s="1158">
        <f>'Gruppe A'!AQ39</f>
        <v>6</v>
      </c>
      <c r="D168" s="1157">
        <f>'Gruppe A'!AD39</f>
        <v>6</v>
      </c>
      <c r="E168" s="1158">
        <f>'Gruppe A'!X64</f>
        <v>6</v>
      </c>
      <c r="F168" s="1157">
        <f>'Gruppe A'!X106</f>
        <v>3</v>
      </c>
      <c r="G168" s="1158">
        <f>'Gruppe A'!BD39</f>
        <v>12</v>
      </c>
      <c r="H168" s="1157">
        <f>'Gruppe A'!D39</f>
        <v>5.5</v>
      </c>
      <c r="I168" s="1158">
        <f>'Gruppe A'!X18</f>
        <v>6.5</v>
      </c>
      <c r="J168" s="1157">
        <f>'Gruppe A'!X128</f>
        <v>4</v>
      </c>
      <c r="K168" s="1158">
        <f>'Gruppe A'!BQ39</f>
        <v>9</v>
      </c>
      <c r="L168" s="1157">
        <f>'Gruppe A'!CD39</f>
        <v>12</v>
      </c>
      <c r="M168" s="1158">
        <f>'Gruppe A'!X152</f>
        <v>3</v>
      </c>
      <c r="N168" s="1159">
        <f>'Spiel 7 - Viertelfinal'!C93</f>
        <v>4</v>
      </c>
      <c r="O168" s="1159">
        <f>'Spiel 7 - Viertelfinal'!W93</f>
        <v>7</v>
      </c>
      <c r="P168" s="1159">
        <f>'Spiel 7 - Viertelfinal'!AC93</f>
        <v>6.5</v>
      </c>
      <c r="Q168" s="1159">
        <f>'Spiel 7 - Viertelfinal'!AX93</f>
        <v>7.5</v>
      </c>
      <c r="R168" s="1159">
        <f>'Spiel 7 - Viertelfinal'!BC93</f>
        <v>3.5</v>
      </c>
      <c r="S168" s="1157">
        <f>'Spiel 8 - Halbfinal'!J42</f>
        <v>7</v>
      </c>
      <c r="T168" s="1159">
        <f>'Spiel 8 - Halbfinal'!P42</f>
        <v>6</v>
      </c>
      <c r="U168" s="1159">
        <f>'Spiel 8 - Halbfinal'!AJ42</f>
        <v>6</v>
      </c>
      <c r="V168" s="1159">
        <f>'Spiel 8 - Halbfinal'!AP42</f>
        <v>5.5</v>
      </c>
      <c r="W168" s="1158">
        <f>'Spiel 8 - Halbfinal'!BJ42</f>
        <v>1.5</v>
      </c>
      <c r="X168" s="1159">
        <f>'Spiel 9 - Final'!C23</f>
        <v>5.333333333333333</v>
      </c>
      <c r="Y168" s="1159">
        <f>'Spiel 9 - Final'!W23</f>
        <v>5.5</v>
      </c>
      <c r="Z168" s="1159">
        <f>'Spiel 9 - Final'!AC23</f>
        <v>-6</v>
      </c>
      <c r="AA168" s="1159">
        <f>'Spiel 9 - Final'!AW23</f>
        <v>10</v>
      </c>
      <c r="AB168" s="1158">
        <f>'Spiel 9 - Final'!BC23</f>
        <v>3</v>
      </c>
      <c r="AC168" s="1002">
        <f>AC164/AC165</f>
        <v>5.6491228070175437</v>
      </c>
    </row>
    <row r="169" spans="1:29" hidden="1" outlineLevel="1">
      <c r="A169" s="1003" t="s">
        <v>8</v>
      </c>
      <c r="B169" s="1053">
        <f>'Gruppe A'!X84</f>
        <v>0</v>
      </c>
      <c r="C169" s="1091">
        <f>'Gruppe A'!AQ40</f>
        <v>6</v>
      </c>
      <c r="D169" s="1055">
        <f>'Gruppe A'!AD40</f>
        <v>6</v>
      </c>
      <c r="E169" s="1058">
        <f>'Gruppe A'!X65</f>
        <v>6</v>
      </c>
      <c r="F169" s="1160">
        <f>'Gruppe A'!X107</f>
        <v>6</v>
      </c>
      <c r="G169" s="1057">
        <f>'Gruppe A'!BD40</f>
        <v>12</v>
      </c>
      <c r="H169" s="1055">
        <f>'Gruppe A'!D40</f>
        <v>5.5</v>
      </c>
      <c r="I169" s="1056">
        <f>'Gruppe A'!X19</f>
        <v>6.5</v>
      </c>
      <c r="J169" s="1053">
        <f>'Gruppe A'!X129</f>
        <v>4</v>
      </c>
      <c r="K169" s="1054">
        <f>'Gruppe A'!BQ40</f>
        <v>9</v>
      </c>
      <c r="L169" s="1055">
        <f>'Gruppe A'!CD40</f>
        <v>12</v>
      </c>
      <c r="M169" s="1058">
        <f>'Gruppe A'!X153</f>
        <v>6</v>
      </c>
      <c r="N169" s="1091">
        <f>'Spiel 7 - Viertelfinal'!C94</f>
        <v>8</v>
      </c>
      <c r="O169" s="1091">
        <f>'Spiel 7 - Viertelfinal'!W94</f>
        <v>7</v>
      </c>
      <c r="P169" s="1091">
        <f>'Spiel 7 - Viertelfinal'!AC94</f>
        <v>6.5</v>
      </c>
      <c r="Q169" s="1091">
        <f>'Spiel 7 - Viertelfinal'!AX94</f>
        <v>7.5</v>
      </c>
      <c r="R169" s="1091">
        <f>'Spiel 7 - Viertelfinal'!BC94</f>
        <v>7</v>
      </c>
      <c r="S169" s="1053">
        <f>'Spiel 8 - Halbfinal'!J43</f>
        <v>7</v>
      </c>
      <c r="T169" s="1091">
        <f>'Spiel 8 - Halbfinal'!P43</f>
        <v>6</v>
      </c>
      <c r="U169" s="1091">
        <f>'Spiel 8 - Halbfinal'!AJ43</f>
        <v>6</v>
      </c>
      <c r="V169" s="1091">
        <f>'Spiel 8 - Halbfinal'!AP43</f>
        <v>5.5</v>
      </c>
      <c r="W169" s="1058">
        <f>'Spiel 8 - Halbfinal'!BJ43</f>
        <v>3</v>
      </c>
      <c r="X169" s="1091">
        <f>'Spiel 9 - Final'!C24</f>
        <v>5.333333333333333</v>
      </c>
      <c r="Y169" s="1091">
        <f>'Spiel 9 - Final'!W24</f>
        <v>11</v>
      </c>
      <c r="Z169" s="1091">
        <f>'Spiel 9 - Final'!AC24</f>
        <v>-6</v>
      </c>
      <c r="AA169" s="1091">
        <f>'Spiel 9 - Final'!AW24</f>
        <v>10</v>
      </c>
      <c r="AB169" s="1057">
        <f>'Spiel 9 - Final'!BC24</f>
        <v>4.5</v>
      </c>
      <c r="AC169" s="1007">
        <f>AC164/(AC165-AC166)</f>
        <v>6.44</v>
      </c>
    </row>
    <row r="170" spans="1:29" ht="3" hidden="1" customHeight="1" outlineLevel="1">
      <c r="M170" s="1129"/>
    </row>
    <row r="171" spans="1:29" hidden="1" outlineLevel="1">
      <c r="A171" s="1140" t="s">
        <v>53</v>
      </c>
      <c r="B171" s="1141"/>
      <c r="C171" s="1142"/>
      <c r="D171" s="1141"/>
      <c r="E171" s="1143"/>
      <c r="F171" s="1142"/>
      <c r="G171" s="1143"/>
      <c r="H171" s="1141"/>
      <c r="I171" s="1143"/>
      <c r="J171" s="1141"/>
      <c r="K171" s="1143"/>
      <c r="L171" s="1141"/>
      <c r="M171" s="1143"/>
      <c r="N171" s="1142"/>
      <c r="O171" s="1142"/>
      <c r="P171" s="1142"/>
      <c r="Q171" s="1142"/>
      <c r="R171" s="1142"/>
      <c r="S171" s="1142"/>
      <c r="T171" s="1142"/>
      <c r="U171" s="1142"/>
      <c r="V171" s="1142"/>
      <c r="W171" s="1142"/>
      <c r="X171" s="1142"/>
      <c r="Y171" s="1142"/>
      <c r="Z171" s="1142"/>
      <c r="AA171" s="1142"/>
      <c r="AB171" s="1143"/>
      <c r="AC171" s="1140"/>
    </row>
    <row r="172" spans="1:29" hidden="1" outlineLevel="1">
      <c r="A172" s="971" t="s">
        <v>3</v>
      </c>
      <c r="B172" s="1021">
        <f>'Gruppe A'!Y79</f>
        <v>3</v>
      </c>
      <c r="C172" s="1022">
        <f>'Gruppe A'!AR35</f>
        <v>17</v>
      </c>
      <c r="D172" s="1021">
        <f>'Gruppe A'!AE35</f>
        <v>19</v>
      </c>
      <c r="E172" s="1022">
        <f>'Gruppe A'!Y60</f>
        <v>0</v>
      </c>
      <c r="F172" s="1021">
        <f>'Gruppe A'!Y102</f>
        <v>12</v>
      </c>
      <c r="G172" s="1022">
        <f>'Gruppe A'!BE35</f>
        <v>12</v>
      </c>
      <c r="H172" s="1021">
        <f>'Gruppe A'!E35</f>
        <v>17</v>
      </c>
      <c r="I172" s="1022">
        <f>'Gruppe A'!Y14</f>
        <v>11</v>
      </c>
      <c r="J172" s="1021">
        <f>'Gruppe A'!Y124</f>
        <v>15</v>
      </c>
      <c r="K172" s="1022">
        <f>'Gruppe A'!BR35</f>
        <v>10</v>
      </c>
      <c r="L172" s="1021">
        <f>'Gruppe A'!CE35</f>
        <v>6</v>
      </c>
      <c r="M172" s="1023">
        <f>'Gruppe A'!Y148</f>
        <v>9</v>
      </c>
      <c r="N172" s="1022">
        <f>'Spiel 7 - Viertelfinal'!D89</f>
        <v>20</v>
      </c>
      <c r="O172" s="1022">
        <f>'Spiel 7 - Viertelfinal'!X89</f>
        <v>0</v>
      </c>
      <c r="P172" s="1022">
        <f>'Spiel 7 - Viertelfinal'!AD89</f>
        <v>11</v>
      </c>
      <c r="Q172" s="1022">
        <f>'Spiel 7 - Viertelfinal'!AW89</f>
        <v>12</v>
      </c>
      <c r="R172" s="1022">
        <f>'Spiel 7 - Viertelfinal'!BB89</f>
        <v>30</v>
      </c>
      <c r="S172" s="1021">
        <f>'Spiel 8 - Halbfinal'!K38</f>
        <v>13</v>
      </c>
      <c r="T172" s="1022">
        <f>'Spiel 8 - Halbfinal'!Q38</f>
        <v>10</v>
      </c>
      <c r="U172" s="1022">
        <f>'Spiel 8 - Halbfinal'!AK38</f>
        <v>0</v>
      </c>
      <c r="V172" s="1022">
        <f>'Spiel 8 - Halbfinal'!AQ38</f>
        <v>11</v>
      </c>
      <c r="W172" s="1023">
        <f>'Spiel 8 - Halbfinal'!BK38</f>
        <v>10</v>
      </c>
      <c r="X172" s="1022">
        <f>'Spiel 9 - Final'!D19</f>
        <v>16</v>
      </c>
      <c r="Y172" s="1022">
        <f>'Spiel 9 - Final'!X19</f>
        <v>0</v>
      </c>
      <c r="Z172" s="1022">
        <f>'Spiel 9 - Final'!AD19</f>
        <v>18</v>
      </c>
      <c r="AA172" s="1022">
        <f>'Spiel 9 - Final'!AX19</f>
        <v>8</v>
      </c>
      <c r="AB172" s="1023">
        <f>'Spiel 9 - Final'!BB19</f>
        <v>24</v>
      </c>
      <c r="AC172" s="979">
        <f>SUM(B172:AB172)</f>
        <v>314</v>
      </c>
    </row>
    <row r="173" spans="1:29" hidden="1" outlineLevel="1">
      <c r="A173" s="971" t="s">
        <v>4</v>
      </c>
      <c r="B173" s="1027">
        <f>'Gruppe A'!Y80</f>
        <v>2</v>
      </c>
      <c r="C173" s="113">
        <f>'Gruppe A'!AR36</f>
        <v>2</v>
      </c>
      <c r="D173" s="1028">
        <f>'Gruppe A'!AE36</f>
        <v>2</v>
      </c>
      <c r="E173" s="1029">
        <f>'Gruppe A'!Y61</f>
        <v>1</v>
      </c>
      <c r="F173" s="113">
        <f>'Gruppe A'!Y103</f>
        <v>2</v>
      </c>
      <c r="G173" s="1031">
        <f>'Gruppe A'!BE36</f>
        <v>1</v>
      </c>
      <c r="H173" s="1027">
        <f>'Gruppe A'!E36</f>
        <v>2</v>
      </c>
      <c r="I173" s="1029">
        <f>'Gruppe A'!Y15</f>
        <v>1</v>
      </c>
      <c r="J173" s="1028">
        <f>'Gruppe A'!Y125</f>
        <v>2</v>
      </c>
      <c r="K173" s="1079">
        <f>'Gruppe A'!BR36</f>
        <v>1</v>
      </c>
      <c r="L173" s="1027">
        <f>'Gruppe A'!CE36</f>
        <v>1</v>
      </c>
      <c r="M173" s="1031">
        <f>'Gruppe A'!Y149</f>
        <v>2</v>
      </c>
      <c r="N173" s="1079">
        <f>'Spiel 7 - Viertelfinal'!D90</f>
        <v>2</v>
      </c>
      <c r="O173" s="1079">
        <f>'Spiel 7 - Viertelfinal'!X90</f>
        <v>1</v>
      </c>
      <c r="P173" s="1079">
        <f>'Spiel 7 - Viertelfinal'!AD90</f>
        <v>2</v>
      </c>
      <c r="Q173" s="1079">
        <f>'Spiel 7 - Viertelfinal'!AW90</f>
        <v>2</v>
      </c>
      <c r="R173" s="1079">
        <f>'Spiel 7 - Viertelfinal'!BB90</f>
        <v>3</v>
      </c>
      <c r="S173" s="1027">
        <f>'Spiel 8 - Halbfinal'!K39</f>
        <v>2</v>
      </c>
      <c r="T173" s="1079">
        <f>'Spiel 8 - Halbfinal'!Q39</f>
        <v>1</v>
      </c>
      <c r="U173" s="1079">
        <f>'Spiel 8 - Halbfinal'!AK39</f>
        <v>1</v>
      </c>
      <c r="V173" s="1079">
        <f>'Spiel 8 - Halbfinal'!AQ39</f>
        <v>2</v>
      </c>
      <c r="W173" s="1031">
        <f>'Spiel 8 - Halbfinal'!BK39</f>
        <v>2</v>
      </c>
      <c r="X173" s="1079">
        <f>'Spiel 9 - Final'!D20</f>
        <v>3</v>
      </c>
      <c r="Y173" s="1079">
        <f>'Spiel 9 - Final'!X20</f>
        <v>2</v>
      </c>
      <c r="Z173" s="1079">
        <f>'Spiel 9 - Final'!AD20</f>
        <v>2</v>
      </c>
      <c r="AA173" s="1079">
        <f>'Spiel 9 - Final'!AX20</f>
        <v>2</v>
      </c>
      <c r="AB173" s="1030">
        <f>'Spiel 9 - Final'!BB20</f>
        <v>4</v>
      </c>
      <c r="AC173" s="985">
        <f>SUM(B173:AB173)</f>
        <v>50</v>
      </c>
    </row>
    <row r="174" spans="1:29" hidden="1" outlineLevel="1">
      <c r="A174" s="971" t="s">
        <v>6</v>
      </c>
      <c r="B174" s="1028">
        <f>'Gruppe A'!Y81</f>
        <v>1</v>
      </c>
      <c r="C174" s="978">
        <f>'Gruppe A'!AR37</f>
        <v>0</v>
      </c>
      <c r="D174" s="972">
        <f>'Gruppe A'!AE37</f>
        <v>0</v>
      </c>
      <c r="E174" s="1029">
        <f>'Gruppe A'!Y62</f>
        <v>1</v>
      </c>
      <c r="F174" s="972">
        <f>'Gruppe A'!Y104</f>
        <v>0</v>
      </c>
      <c r="G174" s="978">
        <f>'Gruppe A'!BE37</f>
        <v>0</v>
      </c>
      <c r="H174" s="972">
        <f>'Gruppe A'!E37</f>
        <v>0</v>
      </c>
      <c r="I174" s="978">
        <f>'Gruppe A'!Y16</f>
        <v>0</v>
      </c>
      <c r="J174" s="972">
        <f>'Gruppe A'!Y126</f>
        <v>0</v>
      </c>
      <c r="K174" s="973">
        <f>'Gruppe A'!BR37</f>
        <v>0</v>
      </c>
      <c r="L174" s="972">
        <f>'Gruppe A'!CE37</f>
        <v>0</v>
      </c>
      <c r="M174" s="1031">
        <f>'Gruppe A'!Y150</f>
        <v>1</v>
      </c>
      <c r="N174" s="973">
        <f>'Spiel 7 - Viertelfinal'!D91</f>
        <v>0</v>
      </c>
      <c r="O174" s="1079">
        <f>'Spiel 7 - Viertelfinal'!X91</f>
        <v>1</v>
      </c>
      <c r="P174" s="973">
        <f>'Spiel 7 - Viertelfinal'!AD91</f>
        <v>0</v>
      </c>
      <c r="Q174" s="1079">
        <f>'Spiel 7 - Viertelfinal'!AW91</f>
        <v>1</v>
      </c>
      <c r="R174" s="973">
        <f>'Spiel 7 - Viertelfinal'!BB91</f>
        <v>0</v>
      </c>
      <c r="S174" s="972">
        <f>'Spiel 8 - Halbfinal'!K40</f>
        <v>0</v>
      </c>
      <c r="T174" s="973">
        <f>'Spiel 8 - Halbfinal'!Q40</f>
        <v>0</v>
      </c>
      <c r="U174" s="1079">
        <f>'Spiel 8 - Halbfinal'!AK40</f>
        <v>1</v>
      </c>
      <c r="V174" s="1079">
        <f>'Spiel 8 - Halbfinal'!AQ40</f>
        <v>1</v>
      </c>
      <c r="W174" s="1031">
        <f>'Spiel 8 - Halbfinal'!BK40</f>
        <v>1</v>
      </c>
      <c r="X174" s="973">
        <f>'Spiel 9 - Final'!D21</f>
        <v>0</v>
      </c>
      <c r="Y174" s="1079">
        <f>'Spiel 9 - Final'!X21</f>
        <v>2</v>
      </c>
      <c r="Z174" s="973">
        <f>'Spiel 9 - Final'!AD21</f>
        <v>0</v>
      </c>
      <c r="AA174" s="973">
        <f>'Spiel 9 - Final'!AX21</f>
        <v>0</v>
      </c>
      <c r="AB174" s="1030">
        <f>'Spiel 9 - Final'!BB21</f>
        <v>1</v>
      </c>
      <c r="AC174" s="987">
        <f>SUM(B174:AB174)</f>
        <v>11</v>
      </c>
    </row>
    <row r="175" spans="1:29" hidden="1" outlineLevel="1">
      <c r="A175" s="971" t="s">
        <v>12</v>
      </c>
      <c r="B175" s="1039">
        <f>'Gruppe A'!Y82</f>
        <v>0.5</v>
      </c>
      <c r="C175" s="1042">
        <f>'Gruppe A'!AR38</f>
        <v>0</v>
      </c>
      <c r="D175" s="1043">
        <f>'Gruppe A'!AE38</f>
        <v>0</v>
      </c>
      <c r="E175" s="1041">
        <f>'Gruppe A'!Y63</f>
        <v>1</v>
      </c>
      <c r="F175" s="1043">
        <f>'Gruppe A'!Y105</f>
        <v>0</v>
      </c>
      <c r="G175" s="1042">
        <f>'Gruppe A'!BE38</f>
        <v>0</v>
      </c>
      <c r="H175" s="1043">
        <f>'Gruppe A'!E38</f>
        <v>0</v>
      </c>
      <c r="I175" s="1042">
        <f>'Gruppe A'!Y17</f>
        <v>0</v>
      </c>
      <c r="J175" s="1043">
        <f>'Gruppe A'!Y127</f>
        <v>0</v>
      </c>
      <c r="K175" s="1042">
        <f>'Gruppe A'!BR38</f>
        <v>0</v>
      </c>
      <c r="L175" s="1043">
        <f>'Gruppe A'!CE38</f>
        <v>0</v>
      </c>
      <c r="M175" s="1041">
        <f>'Gruppe A'!Y151</f>
        <v>0.5</v>
      </c>
      <c r="N175" s="989">
        <f>'Spiel 7 - Viertelfinal'!D92</f>
        <v>0</v>
      </c>
      <c r="O175" s="1044">
        <f>'Spiel 7 - Viertelfinal'!X92</f>
        <v>1</v>
      </c>
      <c r="P175" s="989">
        <f>'Spiel 7 - Viertelfinal'!AD92</f>
        <v>0</v>
      </c>
      <c r="Q175" s="1044">
        <f>'Spiel 7 - Viertelfinal'!AW92</f>
        <v>0.5</v>
      </c>
      <c r="R175" s="989">
        <f>'Spiel 7 - Viertelfinal'!BB92</f>
        <v>0</v>
      </c>
      <c r="S175" s="1043">
        <f>'Spiel 8 - Halbfinal'!K41</f>
        <v>0</v>
      </c>
      <c r="T175" s="989">
        <f>'Spiel 8 - Halbfinal'!Q41</f>
        <v>0</v>
      </c>
      <c r="U175" s="1044">
        <f>'Spiel 8 - Halbfinal'!AK41</f>
        <v>1</v>
      </c>
      <c r="V175" s="1044">
        <f>'Spiel 8 - Halbfinal'!AQ41</f>
        <v>0.5</v>
      </c>
      <c r="W175" s="1041">
        <f>'Spiel 8 - Halbfinal'!BK41</f>
        <v>0.5</v>
      </c>
      <c r="X175" s="989">
        <f>'Spiel 9 - Final'!D22</f>
        <v>0</v>
      </c>
      <c r="Y175" s="1044">
        <f>'Spiel 9 - Final'!X22</f>
        <v>1</v>
      </c>
      <c r="Z175" s="989">
        <f>'Spiel 9 - Final'!AD22</f>
        <v>0</v>
      </c>
      <c r="AA175" s="989">
        <f>'Spiel 9 - Final'!AX22</f>
        <v>0</v>
      </c>
      <c r="AB175" s="1041">
        <f>'Spiel 9 - Final'!BB22</f>
        <v>0.25</v>
      </c>
      <c r="AC175" s="996">
        <f>AC174/AC173</f>
        <v>0.22</v>
      </c>
    </row>
    <row r="176" spans="1:29" hidden="1" outlineLevel="1">
      <c r="A176" s="971" t="s">
        <v>5</v>
      </c>
      <c r="B176" s="1157">
        <f>'Gruppe A'!Y83</f>
        <v>1.5</v>
      </c>
      <c r="C176" s="1158">
        <f>'Gruppe A'!AR39</f>
        <v>8.5</v>
      </c>
      <c r="D176" s="1157">
        <f>'Gruppe A'!AE39</f>
        <v>9.5</v>
      </c>
      <c r="E176" s="1158">
        <f>'Gruppe A'!Y64</f>
        <v>0</v>
      </c>
      <c r="F176" s="1157">
        <f>'Gruppe A'!Y106</f>
        <v>6</v>
      </c>
      <c r="G176" s="1158">
        <f>'Gruppe A'!BE39</f>
        <v>12</v>
      </c>
      <c r="H176" s="1157">
        <f>'Gruppe A'!E39</f>
        <v>8.5</v>
      </c>
      <c r="I176" s="1158">
        <f>'Gruppe A'!Y18</f>
        <v>11</v>
      </c>
      <c r="J176" s="1157">
        <f>'Gruppe A'!Y128</f>
        <v>7.5</v>
      </c>
      <c r="K176" s="1158">
        <f>'Gruppe A'!BR39</f>
        <v>10</v>
      </c>
      <c r="L176" s="1157">
        <f>'Gruppe A'!CE39</f>
        <v>6</v>
      </c>
      <c r="M176" s="1158">
        <f>'Gruppe A'!Y152</f>
        <v>4.5</v>
      </c>
      <c r="N176" s="1159">
        <f>'Spiel 7 - Viertelfinal'!D93</f>
        <v>10</v>
      </c>
      <c r="O176" s="1159">
        <f>'Spiel 7 - Viertelfinal'!X93</f>
        <v>0</v>
      </c>
      <c r="P176" s="1159">
        <f>'Spiel 7 - Viertelfinal'!AD93</f>
        <v>5.5</v>
      </c>
      <c r="Q176" s="1159">
        <f>'Spiel 7 - Viertelfinal'!AW93</f>
        <v>6</v>
      </c>
      <c r="R176" s="1159">
        <f>'Spiel 7 - Viertelfinal'!BB93</f>
        <v>10</v>
      </c>
      <c r="S176" s="1157">
        <f>'Spiel 8 - Halbfinal'!K42</f>
        <v>6.5</v>
      </c>
      <c r="T176" s="1159">
        <f>'Spiel 8 - Halbfinal'!Q42</f>
        <v>10</v>
      </c>
      <c r="U176" s="1159">
        <f>'Spiel 8 - Halbfinal'!AK42</f>
        <v>0</v>
      </c>
      <c r="V176" s="1159">
        <f>'Spiel 8 - Halbfinal'!AQ42</f>
        <v>5.5</v>
      </c>
      <c r="W176" s="1158">
        <f>'Spiel 8 - Halbfinal'!BK42</f>
        <v>5</v>
      </c>
      <c r="X176" s="1159">
        <f>'Spiel 9 - Final'!D23</f>
        <v>5.333333333333333</v>
      </c>
      <c r="Y176" s="1159">
        <f>'Spiel 9 - Final'!X23</f>
        <v>0</v>
      </c>
      <c r="Z176" s="1159">
        <f>'Spiel 9 - Final'!AD23</f>
        <v>9</v>
      </c>
      <c r="AA176" s="1159">
        <f>'Spiel 9 - Final'!AX23</f>
        <v>4</v>
      </c>
      <c r="AB176" s="1158">
        <f>'Spiel 9 - Final'!BB23</f>
        <v>6</v>
      </c>
      <c r="AC176" s="1002">
        <f>AC172/AC173</f>
        <v>6.28</v>
      </c>
    </row>
    <row r="177" spans="1:29" hidden="1" outlineLevel="1">
      <c r="A177" s="1003" t="s">
        <v>8</v>
      </c>
      <c r="B177" s="1053">
        <f>'Gruppe A'!Y84</f>
        <v>0</v>
      </c>
      <c r="C177" s="1091">
        <f>'Gruppe A'!AR40</f>
        <v>8.5</v>
      </c>
      <c r="D177" s="1055">
        <f>'Gruppe A'!AE40</f>
        <v>9.5</v>
      </c>
      <c r="E177" s="1058">
        <v>0</v>
      </c>
      <c r="F177" s="1160">
        <f>'Gruppe A'!Y107</f>
        <v>6</v>
      </c>
      <c r="G177" s="1057">
        <f>'Gruppe A'!BE40</f>
        <v>12</v>
      </c>
      <c r="H177" s="1055">
        <f>'Gruppe A'!E40</f>
        <v>8.5</v>
      </c>
      <c r="I177" s="1056">
        <f>'Gruppe A'!Y19</f>
        <v>11</v>
      </c>
      <c r="J177" s="1053">
        <f>'Gruppe A'!Y129</f>
        <v>7.5</v>
      </c>
      <c r="K177" s="1054">
        <f>'Gruppe A'!BR40</f>
        <v>10</v>
      </c>
      <c r="L177" s="1055">
        <f>'Gruppe A'!CE40</f>
        <v>6</v>
      </c>
      <c r="M177" s="1058">
        <f>'Gruppe A'!Y153</f>
        <v>9</v>
      </c>
      <c r="N177" s="1091">
        <f>'Spiel 7 - Viertelfinal'!D94</f>
        <v>10</v>
      </c>
      <c r="O177" s="1091">
        <v>0</v>
      </c>
      <c r="P177" s="1091">
        <f>'Spiel 7 - Viertelfinal'!AD94</f>
        <v>5.5</v>
      </c>
      <c r="Q177" s="1091">
        <f>'Spiel 7 - Viertelfinal'!AW94</f>
        <v>12</v>
      </c>
      <c r="R177" s="1091">
        <f>'Spiel 7 - Viertelfinal'!BB94</f>
        <v>10</v>
      </c>
      <c r="S177" s="1053">
        <f>'Spiel 8 - Halbfinal'!K43</f>
        <v>6.5</v>
      </c>
      <c r="T177" s="1091">
        <f>'Spiel 8 - Halbfinal'!Q43</f>
        <v>10</v>
      </c>
      <c r="U177" s="1091">
        <v>0</v>
      </c>
      <c r="V177" s="1091">
        <f>'Spiel 8 - Halbfinal'!AQ43</f>
        <v>11</v>
      </c>
      <c r="W177" s="1058">
        <f>'Spiel 8 - Halbfinal'!BK43</f>
        <v>10</v>
      </c>
      <c r="X177" s="1091">
        <f>'Spiel 9 - Final'!D24</f>
        <v>5.333333333333333</v>
      </c>
      <c r="Y177" s="1091">
        <v>0</v>
      </c>
      <c r="Z177" s="1091">
        <f>'Spiel 9 - Final'!AD24</f>
        <v>9</v>
      </c>
      <c r="AA177" s="1091">
        <f>'Spiel 9 - Final'!AX24</f>
        <v>4</v>
      </c>
      <c r="AB177" s="1057">
        <f>'Spiel 9 - Final'!BB24</f>
        <v>8</v>
      </c>
      <c r="AC177" s="1007">
        <f>AC172/(AC173-AC174)</f>
        <v>8.0512820512820511</v>
      </c>
    </row>
    <row r="178" spans="1:29" ht="3" hidden="1" customHeight="1" outlineLevel="1">
      <c r="M178" s="1129"/>
    </row>
    <row r="179" spans="1:29" hidden="1" outlineLevel="1">
      <c r="A179" s="1140" t="s">
        <v>96</v>
      </c>
      <c r="B179" s="1141"/>
      <c r="C179" s="1142"/>
      <c r="D179" s="1141"/>
      <c r="E179" s="1143"/>
      <c r="F179" s="1142"/>
      <c r="G179" s="1143"/>
      <c r="H179" s="1141"/>
      <c r="I179" s="1143"/>
      <c r="J179" s="1141"/>
      <c r="K179" s="1143"/>
      <c r="L179" s="1141"/>
      <c r="M179" s="1143"/>
      <c r="N179" s="1142"/>
      <c r="O179" s="1142"/>
      <c r="P179" s="1142"/>
      <c r="Q179" s="1142"/>
      <c r="R179" s="1142"/>
      <c r="S179" s="1142"/>
      <c r="T179" s="1142"/>
      <c r="U179" s="1142"/>
      <c r="V179" s="1142"/>
      <c r="W179" s="1142"/>
      <c r="X179" s="1142"/>
      <c r="Y179" s="1142"/>
      <c r="Z179" s="1142"/>
      <c r="AA179" s="1142"/>
      <c r="AB179" s="1143"/>
      <c r="AC179" s="1140"/>
    </row>
    <row r="180" spans="1:29" hidden="1" outlineLevel="1">
      <c r="A180" s="971" t="s">
        <v>3</v>
      </c>
      <c r="B180" s="1021">
        <f>'Gruppe A'!Z79</f>
        <v>14</v>
      </c>
      <c r="C180" s="1022">
        <f>'Gruppe A'!AS35</f>
        <v>2</v>
      </c>
      <c r="D180" s="1021">
        <f>'Gruppe A'!AF35</f>
        <v>5</v>
      </c>
      <c r="E180" s="1022">
        <f>'Gruppe A'!Z60</f>
        <v>5</v>
      </c>
      <c r="F180" s="1021">
        <f>'Gruppe A'!Z102</f>
        <v>12</v>
      </c>
      <c r="G180" s="1022">
        <f>'Gruppe A'!BF35</f>
        <v>0</v>
      </c>
      <c r="H180" s="1021">
        <f>'Gruppe A'!F35</f>
        <v>3</v>
      </c>
      <c r="I180" s="1022">
        <f>'Gruppe A'!Z14</f>
        <v>7</v>
      </c>
      <c r="J180" s="1021">
        <f>'Gruppe A'!Z124</f>
        <v>4</v>
      </c>
      <c r="K180" s="1022">
        <f>'Gruppe A'!BS35</f>
        <v>0</v>
      </c>
      <c r="L180" s="1021">
        <f>'Gruppe A'!CF35</f>
        <v>3</v>
      </c>
      <c r="M180" s="1023">
        <f>'Gruppe A'!Z148</f>
        <v>13</v>
      </c>
      <c r="N180" s="1022">
        <f>'Spiel 7 - Viertelfinal'!E89</f>
        <v>5</v>
      </c>
      <c r="O180" s="1022">
        <f>'Spiel 7 - Viertelfinal'!Y89</f>
        <v>4</v>
      </c>
      <c r="P180" s="1022">
        <f>'Spiel 7 - Viertelfinal'!AE89</f>
        <v>4</v>
      </c>
      <c r="Q180" s="1022">
        <f>'Spiel 7 - Viertelfinal'!AV89</f>
        <v>8</v>
      </c>
      <c r="R180" s="1022">
        <f>'Spiel 7 - Viertelfinal'!BE89</f>
        <v>3</v>
      </c>
      <c r="S180" s="1021">
        <f>'Spiel 8 - Halbfinal'!L38</f>
        <v>10</v>
      </c>
      <c r="T180" s="1022">
        <f>'Spiel 8 - Halbfinal'!R38</f>
        <v>4</v>
      </c>
      <c r="U180" s="1022">
        <f>'Spiel 8 - Halbfinal'!AL38</f>
        <v>7</v>
      </c>
      <c r="V180" s="1022">
        <f>'Spiel 8 - Halbfinal'!AR38</f>
        <v>11</v>
      </c>
      <c r="W180" s="1023">
        <f>'Spiel 8 - Halbfinal'!BL38</f>
        <v>6</v>
      </c>
      <c r="X180" s="1022">
        <f>'Spiel 9 - Final'!E19</f>
        <v>0</v>
      </c>
      <c r="Y180" s="1022">
        <f>'Spiel 9 - Final'!Y19</f>
        <v>10</v>
      </c>
      <c r="Z180" s="1022">
        <f>'Spiel 9 - Final'!AE19</f>
        <v>7</v>
      </c>
      <c r="AA180" s="1022">
        <f>'Spiel 9 - Final'!AY19</f>
        <v>3</v>
      </c>
      <c r="AB180" s="1023">
        <f>'Spiel 9 - Final'!BE19</f>
        <v>12</v>
      </c>
      <c r="AC180" s="979">
        <f>SUM(B180:AB180)</f>
        <v>162</v>
      </c>
    </row>
    <row r="181" spans="1:29" hidden="1" outlineLevel="1">
      <c r="A181" s="971" t="s">
        <v>4</v>
      </c>
      <c r="B181" s="1027">
        <f>'Gruppe A'!Z80</f>
        <v>2</v>
      </c>
      <c r="C181" s="113">
        <f>'Gruppe A'!AS36</f>
        <v>2</v>
      </c>
      <c r="D181" s="1028">
        <f>'Gruppe A'!AF36</f>
        <v>1</v>
      </c>
      <c r="E181" s="1029">
        <f>'Gruppe A'!Z61</f>
        <v>1</v>
      </c>
      <c r="F181" s="113">
        <f>'Gruppe A'!Z103</f>
        <v>2</v>
      </c>
      <c r="G181" s="1031">
        <f>'Gruppe A'!BF36</f>
        <v>1</v>
      </c>
      <c r="H181" s="1027">
        <f>'Gruppe A'!F36</f>
        <v>1</v>
      </c>
      <c r="I181" s="1029">
        <f>'Gruppe A'!Z15</f>
        <v>1</v>
      </c>
      <c r="J181" s="1028">
        <f>'Gruppe A'!Z125</f>
        <v>1</v>
      </c>
      <c r="K181" s="1079">
        <f>'Gruppe A'!BS36</f>
        <v>1</v>
      </c>
      <c r="L181" s="1027">
        <f>'Gruppe A'!CF36</f>
        <v>1</v>
      </c>
      <c r="M181" s="1031">
        <f>'Gruppe A'!Z149</f>
        <v>2</v>
      </c>
      <c r="N181" s="1079">
        <f>'Spiel 7 - Viertelfinal'!E90</f>
        <v>1</v>
      </c>
      <c r="O181" s="1079">
        <f>'Spiel 7 - Viertelfinal'!Y90</f>
        <v>1</v>
      </c>
      <c r="P181" s="1079">
        <f>'Spiel 7 - Viertelfinal'!AE90</f>
        <v>2</v>
      </c>
      <c r="Q181" s="1079">
        <f>'Spiel 7 - Viertelfinal'!AV90</f>
        <v>3</v>
      </c>
      <c r="R181" s="1079">
        <f>'Spiel 7 - Viertelfinal'!BE90</f>
        <v>2</v>
      </c>
      <c r="S181" s="1027">
        <f>'Spiel 8 - Halbfinal'!L39</f>
        <v>2</v>
      </c>
      <c r="T181" s="1079">
        <f>'Spiel 8 - Halbfinal'!R39</f>
        <v>1</v>
      </c>
      <c r="U181" s="1079">
        <f>'Spiel 8 - Halbfinal'!AL39</f>
        <v>1</v>
      </c>
      <c r="V181" s="1079">
        <f>'Spiel 8 - Halbfinal'!AR39</f>
        <v>2</v>
      </c>
      <c r="W181" s="1031">
        <f>'Spiel 8 - Halbfinal'!BL39</f>
        <v>1</v>
      </c>
      <c r="X181" s="1079">
        <f>'Spiel 9 - Final'!E20</f>
        <v>2</v>
      </c>
      <c r="Y181" s="1079">
        <f>'Spiel 9 - Final'!Y20</f>
        <v>1</v>
      </c>
      <c r="Z181" s="1079">
        <f>'Spiel 9 - Final'!AE20</f>
        <v>2</v>
      </c>
      <c r="AA181" s="1079">
        <f>'Spiel 9 - Final'!AY20</f>
        <v>2</v>
      </c>
      <c r="AB181" s="1030">
        <f>'Spiel 9 - Final'!BE20</f>
        <v>3</v>
      </c>
      <c r="AC181" s="985">
        <f>SUM(B181:AB181)</f>
        <v>42</v>
      </c>
    </row>
    <row r="182" spans="1:29" hidden="1" outlineLevel="1">
      <c r="A182" s="971" t="s">
        <v>6</v>
      </c>
      <c r="B182" s="1028">
        <f>'Gruppe A'!Z81</f>
        <v>0</v>
      </c>
      <c r="C182" s="1029">
        <f>'Gruppe A'!AS37</f>
        <v>1</v>
      </c>
      <c r="D182" s="972">
        <f>'Gruppe A'!AF37</f>
        <v>0</v>
      </c>
      <c r="E182" s="978">
        <f>'Gruppe A'!Z62</f>
        <v>0</v>
      </c>
      <c r="F182" s="1028">
        <f>'Gruppe A'!Z104</f>
        <v>1</v>
      </c>
      <c r="G182" s="1029">
        <f>'Gruppe A'!BF37</f>
        <v>1</v>
      </c>
      <c r="H182" s="972">
        <f>'Gruppe A'!F37</f>
        <v>0</v>
      </c>
      <c r="I182" s="978">
        <f>'Gruppe A'!Z16</f>
        <v>0</v>
      </c>
      <c r="J182" s="972">
        <f>'Gruppe A'!Z126</f>
        <v>0</v>
      </c>
      <c r="K182" s="113">
        <f>'Gruppe A'!BS37</f>
        <v>1</v>
      </c>
      <c r="L182" s="972">
        <f>'Gruppe A'!CF37</f>
        <v>0</v>
      </c>
      <c r="M182" s="978">
        <f>'Gruppe A'!Z150</f>
        <v>0</v>
      </c>
      <c r="N182" s="973">
        <f>'Spiel 7 - Viertelfinal'!E91</f>
        <v>0</v>
      </c>
      <c r="O182" s="973">
        <f>'Spiel 7 - Viertelfinal'!Y91</f>
        <v>0</v>
      </c>
      <c r="P182" s="1079">
        <f>'Spiel 7 - Viertelfinal'!AE91</f>
        <v>1</v>
      </c>
      <c r="Q182" s="1079">
        <f>'Spiel 7 - Viertelfinal'!AV91</f>
        <v>1</v>
      </c>
      <c r="R182" s="1079">
        <f>'Spiel 7 - Viertelfinal'!BE91</f>
        <v>1</v>
      </c>
      <c r="S182" s="972">
        <f>'Spiel 8 - Halbfinal'!L40</f>
        <v>0</v>
      </c>
      <c r="T182" s="973">
        <f>'Spiel 8 - Halbfinal'!R40</f>
        <v>0</v>
      </c>
      <c r="U182" s="973">
        <f>'Spiel 8 - Halbfinal'!AL40</f>
        <v>0</v>
      </c>
      <c r="V182" s="973">
        <f>'Spiel 8 - Halbfinal'!AR40</f>
        <v>0</v>
      </c>
      <c r="W182" s="978">
        <f>'Spiel 8 - Halbfinal'!BL40</f>
        <v>0</v>
      </c>
      <c r="X182" s="1079">
        <f>'Spiel 9 - Final'!E21</f>
        <v>2</v>
      </c>
      <c r="Y182" s="973">
        <f>'Spiel 9 - Final'!Y21</f>
        <v>0</v>
      </c>
      <c r="Z182" s="1079">
        <f>'Spiel 9 - Final'!AE21</f>
        <v>1</v>
      </c>
      <c r="AA182" s="1079">
        <f>'Spiel 9 - Final'!AY21</f>
        <v>1</v>
      </c>
      <c r="AB182" s="1030">
        <f>'Spiel 9 - Final'!BE21</f>
        <v>1</v>
      </c>
      <c r="AC182" s="987">
        <f>SUM(B182:AB182)</f>
        <v>12</v>
      </c>
    </row>
    <row r="183" spans="1:29" hidden="1" outlineLevel="1">
      <c r="A183" s="971" t="s">
        <v>12</v>
      </c>
      <c r="B183" s="1039">
        <f>'Gruppe A'!Z82</f>
        <v>0</v>
      </c>
      <c r="C183" s="1041">
        <f>'Gruppe A'!AS38</f>
        <v>0.5</v>
      </c>
      <c r="D183" s="1043">
        <f>'Gruppe A'!AF38</f>
        <v>0</v>
      </c>
      <c r="E183" s="1042">
        <f>'Gruppe A'!Z63</f>
        <v>0</v>
      </c>
      <c r="F183" s="1039">
        <f>'Gruppe A'!Z105</f>
        <v>0.5</v>
      </c>
      <c r="G183" s="1041">
        <f>'Gruppe A'!BF38</f>
        <v>1</v>
      </c>
      <c r="H183" s="1043">
        <f>'Gruppe A'!F38</f>
        <v>0</v>
      </c>
      <c r="I183" s="1042">
        <f>'Gruppe A'!Z17</f>
        <v>0</v>
      </c>
      <c r="J183" s="1043">
        <f>'Gruppe A'!Z127</f>
        <v>0</v>
      </c>
      <c r="K183" s="1041">
        <f>'Gruppe A'!BS38</f>
        <v>1</v>
      </c>
      <c r="L183" s="1043">
        <f>'Gruppe A'!CF38</f>
        <v>0</v>
      </c>
      <c r="M183" s="1042">
        <f>'Gruppe A'!Z151</f>
        <v>0</v>
      </c>
      <c r="N183" s="989">
        <f>'Spiel 7 - Viertelfinal'!E92</f>
        <v>0</v>
      </c>
      <c r="O183" s="989">
        <f>'Spiel 7 - Viertelfinal'!Y92</f>
        <v>0</v>
      </c>
      <c r="P183" s="1044">
        <f>'Spiel 7 - Viertelfinal'!AE92</f>
        <v>0.5</v>
      </c>
      <c r="Q183" s="1044">
        <f>'Spiel 7 - Viertelfinal'!AV92</f>
        <v>0.33333333333333331</v>
      </c>
      <c r="R183" s="1044">
        <f>'Spiel 7 - Viertelfinal'!BE92</f>
        <v>0.5</v>
      </c>
      <c r="S183" s="1043">
        <f>'Spiel 8 - Halbfinal'!L41</f>
        <v>0</v>
      </c>
      <c r="T183" s="989">
        <f>'Spiel 8 - Halbfinal'!R41</f>
        <v>0</v>
      </c>
      <c r="U183" s="989">
        <f>'Spiel 8 - Halbfinal'!AL41</f>
        <v>0</v>
      </c>
      <c r="V183" s="989">
        <f>'Spiel 8 - Halbfinal'!AR41</f>
        <v>0</v>
      </c>
      <c r="W183" s="1042">
        <f>'Spiel 8 - Halbfinal'!BL41</f>
        <v>0</v>
      </c>
      <c r="X183" s="1044">
        <f>'Spiel 9 - Final'!E22</f>
        <v>1</v>
      </c>
      <c r="Y183" s="989">
        <f>'Spiel 9 - Final'!Y22</f>
        <v>0</v>
      </c>
      <c r="Z183" s="1044">
        <f>'Spiel 9 - Final'!AE22</f>
        <v>0.5</v>
      </c>
      <c r="AA183" s="1044">
        <f>'Spiel 9 - Final'!AY22</f>
        <v>0.5</v>
      </c>
      <c r="AB183" s="1041">
        <f>'Spiel 9 - Final'!BE22</f>
        <v>0.33333333333333331</v>
      </c>
      <c r="AC183" s="996">
        <f>AC182/AC181</f>
        <v>0.2857142857142857</v>
      </c>
    </row>
    <row r="184" spans="1:29" hidden="1" outlineLevel="1">
      <c r="A184" s="971" t="s">
        <v>5</v>
      </c>
      <c r="B184" s="1157">
        <f>'Gruppe A'!Z83</f>
        <v>7</v>
      </c>
      <c r="C184" s="1158">
        <f>'Gruppe A'!AS39</f>
        <v>1</v>
      </c>
      <c r="D184" s="1157">
        <f>'Gruppe A'!AF39</f>
        <v>5</v>
      </c>
      <c r="E184" s="1158">
        <f>'Gruppe A'!Z64</f>
        <v>5</v>
      </c>
      <c r="F184" s="1157">
        <f>'Gruppe A'!Z106</f>
        <v>6</v>
      </c>
      <c r="G184" s="1158">
        <f>'Gruppe A'!BF39</f>
        <v>0</v>
      </c>
      <c r="H184" s="1157">
        <f>'Gruppe A'!F39</f>
        <v>3</v>
      </c>
      <c r="I184" s="1158">
        <f>'Gruppe A'!Z18</f>
        <v>7</v>
      </c>
      <c r="J184" s="1157">
        <f>'Gruppe A'!Z128</f>
        <v>4</v>
      </c>
      <c r="K184" s="1158">
        <f>'Gruppe A'!BS39</f>
        <v>0</v>
      </c>
      <c r="L184" s="1157">
        <f>'Gruppe A'!CF39</f>
        <v>3</v>
      </c>
      <c r="M184" s="1158">
        <f>'Gruppe A'!Z152</f>
        <v>6.5</v>
      </c>
      <c r="N184" s="1159">
        <f>'Spiel 7 - Viertelfinal'!E93</f>
        <v>5</v>
      </c>
      <c r="O184" s="1159">
        <f>'Spiel 7 - Viertelfinal'!Y93</f>
        <v>4</v>
      </c>
      <c r="P184" s="1159">
        <f>'Spiel 7 - Viertelfinal'!AE93</f>
        <v>2</v>
      </c>
      <c r="Q184" s="1159">
        <f>'Spiel 7 - Viertelfinal'!AV93</f>
        <v>2.6666666666666665</v>
      </c>
      <c r="R184" s="1159">
        <f>'Spiel 7 - Viertelfinal'!BE93</f>
        <v>1.5</v>
      </c>
      <c r="S184" s="1157">
        <f>'Spiel 8 - Halbfinal'!L42</f>
        <v>5</v>
      </c>
      <c r="T184" s="1159">
        <f>'Spiel 8 - Halbfinal'!R42</f>
        <v>4</v>
      </c>
      <c r="U184" s="1159">
        <f>'Spiel 8 - Halbfinal'!AL42</f>
        <v>7</v>
      </c>
      <c r="V184" s="1159">
        <f>'Spiel 8 - Halbfinal'!AR42</f>
        <v>5.5</v>
      </c>
      <c r="W184" s="1158">
        <f>'Spiel 8 - Halbfinal'!BL42</f>
        <v>6</v>
      </c>
      <c r="X184" s="1159">
        <f>'Spiel 9 - Final'!E23</f>
        <v>0</v>
      </c>
      <c r="Y184" s="1159">
        <f>'Spiel 9 - Final'!Y23</f>
        <v>10</v>
      </c>
      <c r="Z184" s="1159">
        <f>'Spiel 9 - Final'!AE23</f>
        <v>3.5</v>
      </c>
      <c r="AA184" s="1159">
        <f>'Spiel 9 - Final'!AY23</f>
        <v>1.5</v>
      </c>
      <c r="AB184" s="1158">
        <f>'Spiel 9 - Final'!BE23</f>
        <v>4</v>
      </c>
      <c r="AC184" s="1002">
        <f>AC180/AC181</f>
        <v>3.8571428571428572</v>
      </c>
    </row>
    <row r="185" spans="1:29" hidden="1" outlineLevel="1">
      <c r="A185" s="1003" t="s">
        <v>8</v>
      </c>
      <c r="B185" s="1053">
        <f>'Gruppe A'!Z84</f>
        <v>0</v>
      </c>
      <c r="C185" s="1091">
        <f>'Gruppe A'!AS40</f>
        <v>2</v>
      </c>
      <c r="D185" s="1055">
        <f>'Gruppe A'!AF40</f>
        <v>5</v>
      </c>
      <c r="E185" s="1058">
        <f>'Gruppe A'!Z65</f>
        <v>5</v>
      </c>
      <c r="F185" s="1160">
        <f>'Gruppe A'!Z107</f>
        <v>12</v>
      </c>
      <c r="G185" s="1057">
        <v>0</v>
      </c>
      <c r="H185" s="1055">
        <f>'Gruppe A'!F40</f>
        <v>3</v>
      </c>
      <c r="I185" s="1056">
        <f>'Gruppe A'!Z19</f>
        <v>7</v>
      </c>
      <c r="J185" s="1053">
        <f>'Gruppe A'!Z129</f>
        <v>4</v>
      </c>
      <c r="K185" s="1054">
        <v>0</v>
      </c>
      <c r="L185" s="1055">
        <f>'Gruppe A'!CF40</f>
        <v>3</v>
      </c>
      <c r="M185" s="1058">
        <f>'Gruppe A'!Z153</f>
        <v>6.5</v>
      </c>
      <c r="N185" s="1091">
        <f>'Spiel 7 - Viertelfinal'!E94</f>
        <v>5</v>
      </c>
      <c r="O185" s="1091">
        <f>'Spiel 7 - Viertelfinal'!Y94</f>
        <v>4</v>
      </c>
      <c r="P185" s="1091">
        <f>'Spiel 7 - Viertelfinal'!AE94</f>
        <v>4</v>
      </c>
      <c r="Q185" s="1091">
        <f>'Spiel 7 - Viertelfinal'!AV94</f>
        <v>4</v>
      </c>
      <c r="R185" s="1091">
        <f>'Spiel 7 - Viertelfinal'!BE94</f>
        <v>3</v>
      </c>
      <c r="S185" s="1053">
        <f>'Spiel 8 - Halbfinal'!L43</f>
        <v>5</v>
      </c>
      <c r="T185" s="1091">
        <f>'Spiel 8 - Halbfinal'!R43</f>
        <v>4</v>
      </c>
      <c r="U185" s="1091">
        <f>'Spiel 8 - Halbfinal'!AL43</f>
        <v>7</v>
      </c>
      <c r="V185" s="1091">
        <f>'Spiel 8 - Halbfinal'!AR43</f>
        <v>5.5</v>
      </c>
      <c r="W185" s="1058">
        <f>'Spiel 8 - Halbfinal'!BL43</f>
        <v>6</v>
      </c>
      <c r="X185" s="1091">
        <v>0</v>
      </c>
      <c r="Y185" s="1091">
        <f>'Spiel 9 - Final'!Y24</f>
        <v>10</v>
      </c>
      <c r="Z185" s="1091">
        <f>'Spiel 9 - Final'!AE24</f>
        <v>7</v>
      </c>
      <c r="AA185" s="1091">
        <f>'Spiel 9 - Final'!AY24</f>
        <v>3</v>
      </c>
      <c r="AB185" s="1057">
        <f>'Spiel 9 - Final'!BE24</f>
        <v>6</v>
      </c>
      <c r="AC185" s="1007">
        <f>AC180/(AC181-AC182)</f>
        <v>5.4</v>
      </c>
    </row>
    <row r="186" spans="1:29" ht="3" hidden="1" customHeight="1" outlineLevel="1">
      <c r="M186" s="1129"/>
    </row>
    <row r="187" spans="1:29" collapsed="1">
      <c r="A187" s="1162" t="s">
        <v>155</v>
      </c>
      <c r="B187" s="1163"/>
      <c r="C187" s="1164"/>
      <c r="D187" s="1164"/>
      <c r="E187" s="1164"/>
      <c r="F187" s="1164"/>
      <c r="G187" s="1164"/>
      <c r="H187" s="1164"/>
      <c r="I187" s="1164"/>
      <c r="J187" s="1164"/>
      <c r="K187" s="1164"/>
      <c r="L187" s="1164"/>
      <c r="M187" s="1165"/>
      <c r="N187" s="1163"/>
      <c r="O187" s="1164"/>
      <c r="P187" s="1164"/>
      <c r="Q187" s="1164"/>
      <c r="R187" s="1164"/>
      <c r="S187" s="1164"/>
      <c r="T187" s="1164"/>
      <c r="U187" s="1164"/>
      <c r="V187" s="1164"/>
      <c r="W187" s="1164"/>
      <c r="X187" s="1164"/>
      <c r="Y187" s="1164"/>
      <c r="Z187" s="1164"/>
      <c r="AA187" s="1164"/>
      <c r="AB187" s="1165"/>
      <c r="AC187" s="1162"/>
    </row>
    <row r="188" spans="1:29">
      <c r="A188" s="971" t="s">
        <v>3</v>
      </c>
      <c r="B188" s="972">
        <f>B196+B204+B212+B220+B228</f>
        <v>50</v>
      </c>
      <c r="C188" s="1105">
        <f t="shared" ref="C188:O188" si="38">C196+C204+C212+C220+C228</f>
        <v>41</v>
      </c>
      <c r="D188" s="972">
        <f t="shared" si="38"/>
        <v>50</v>
      </c>
      <c r="E188" s="1104">
        <f t="shared" si="38"/>
        <v>33</v>
      </c>
      <c r="F188" s="973">
        <f t="shared" si="38"/>
        <v>50</v>
      </c>
      <c r="G188" s="983">
        <f t="shared" si="38"/>
        <v>42</v>
      </c>
      <c r="H188" s="982">
        <f t="shared" si="38"/>
        <v>42</v>
      </c>
      <c r="I188" s="978">
        <f t="shared" si="38"/>
        <v>50</v>
      </c>
      <c r="J188" s="972">
        <f t="shared" si="38"/>
        <v>50</v>
      </c>
      <c r="K188" s="981">
        <f t="shared" si="38"/>
        <v>40</v>
      </c>
      <c r="L188" s="972">
        <f t="shared" si="38"/>
        <v>50</v>
      </c>
      <c r="M188" s="983">
        <f t="shared" si="38"/>
        <v>43</v>
      </c>
      <c r="N188" s="973">
        <f t="shared" si="38"/>
        <v>50</v>
      </c>
      <c r="O188" s="981">
        <f t="shared" si="38"/>
        <v>34</v>
      </c>
      <c r="P188" s="981"/>
      <c r="Q188" s="981"/>
      <c r="R188" s="981"/>
      <c r="S188" s="972">
        <f t="shared" ref="S188:U188" si="39">S196+S204+S212+S220+S228</f>
        <v>50</v>
      </c>
      <c r="T188" s="981">
        <f t="shared" si="39"/>
        <v>35</v>
      </c>
      <c r="U188" s="973">
        <f t="shared" si="39"/>
        <v>50</v>
      </c>
      <c r="V188" s="1166"/>
      <c r="W188" s="1167"/>
      <c r="X188" s="1166"/>
      <c r="Y188" s="1166"/>
      <c r="Z188" s="1166"/>
      <c r="AA188" s="1166"/>
      <c r="AB188" s="1168"/>
      <c r="AC188" s="979">
        <f>SUM(B188:AB188)</f>
        <v>760</v>
      </c>
    </row>
    <row r="189" spans="1:29">
      <c r="A189" s="971" t="s">
        <v>4</v>
      </c>
      <c r="B189" s="982">
        <f t="shared" ref="B189:O189" si="40">B197+B205+B213+B221+B229</f>
        <v>10</v>
      </c>
      <c r="C189" s="1105">
        <f t="shared" si="40"/>
        <v>6</v>
      </c>
      <c r="D189" s="980">
        <f t="shared" si="40"/>
        <v>9</v>
      </c>
      <c r="E189" s="1104">
        <f t="shared" si="40"/>
        <v>9</v>
      </c>
      <c r="F189" s="1105">
        <f t="shared" si="40"/>
        <v>9</v>
      </c>
      <c r="G189" s="983">
        <f t="shared" si="40"/>
        <v>5</v>
      </c>
      <c r="H189" s="982">
        <f t="shared" si="40"/>
        <v>8</v>
      </c>
      <c r="I189" s="1104">
        <f t="shared" si="40"/>
        <v>11</v>
      </c>
      <c r="J189" s="980">
        <f t="shared" si="40"/>
        <v>10</v>
      </c>
      <c r="K189" s="981">
        <f t="shared" si="40"/>
        <v>5</v>
      </c>
      <c r="L189" s="982">
        <f t="shared" si="40"/>
        <v>13</v>
      </c>
      <c r="M189" s="983">
        <f t="shared" si="40"/>
        <v>9</v>
      </c>
      <c r="N189" s="981">
        <f t="shared" si="40"/>
        <v>6</v>
      </c>
      <c r="O189" s="981">
        <f t="shared" si="40"/>
        <v>5</v>
      </c>
      <c r="P189" s="981"/>
      <c r="Q189" s="981"/>
      <c r="R189" s="981"/>
      <c r="S189" s="982">
        <f t="shared" ref="S189:U189" si="41">S197+S205+S213+S221+S229</f>
        <v>9</v>
      </c>
      <c r="T189" s="981">
        <f t="shared" si="41"/>
        <v>5</v>
      </c>
      <c r="U189" s="981">
        <f t="shared" si="41"/>
        <v>9</v>
      </c>
      <c r="V189" s="1166"/>
      <c r="W189" s="1167"/>
      <c r="X189" s="1166"/>
      <c r="Y189" s="1166"/>
      <c r="Z189" s="1166"/>
      <c r="AA189" s="1166"/>
      <c r="AB189" s="1168"/>
      <c r="AC189" s="985">
        <f>SUM(B189:AB189)</f>
        <v>138</v>
      </c>
    </row>
    <row r="190" spans="1:29">
      <c r="A190" s="971" t="s">
        <v>6</v>
      </c>
      <c r="B190" s="982">
        <f t="shared" ref="B190:O190" si="42">B198+B206+B214+B222+B230</f>
        <v>2</v>
      </c>
      <c r="C190" s="1105">
        <f t="shared" si="42"/>
        <v>1</v>
      </c>
      <c r="D190" s="972">
        <f t="shared" si="42"/>
        <v>0</v>
      </c>
      <c r="E190" s="1104">
        <f t="shared" si="42"/>
        <v>4</v>
      </c>
      <c r="F190" s="1105">
        <f t="shared" si="42"/>
        <v>1</v>
      </c>
      <c r="G190" s="978">
        <f t="shared" si="42"/>
        <v>0</v>
      </c>
      <c r="H190" s="982">
        <f t="shared" si="42"/>
        <v>1</v>
      </c>
      <c r="I190" s="1104">
        <f t="shared" si="42"/>
        <v>4</v>
      </c>
      <c r="J190" s="980">
        <f t="shared" si="42"/>
        <v>3</v>
      </c>
      <c r="K190" s="973">
        <f t="shared" si="42"/>
        <v>0</v>
      </c>
      <c r="L190" s="982">
        <f t="shared" si="42"/>
        <v>2</v>
      </c>
      <c r="M190" s="983">
        <f t="shared" si="42"/>
        <v>2</v>
      </c>
      <c r="N190" s="973">
        <f t="shared" si="42"/>
        <v>0</v>
      </c>
      <c r="O190" s="981">
        <f t="shared" si="42"/>
        <v>1</v>
      </c>
      <c r="P190" s="981"/>
      <c r="Q190" s="981"/>
      <c r="R190" s="981"/>
      <c r="S190" s="982">
        <f t="shared" ref="S190:U190" si="43">S198+S206+S214+S222+S230</f>
        <v>2</v>
      </c>
      <c r="T190" s="981">
        <f t="shared" si="43"/>
        <v>1</v>
      </c>
      <c r="U190" s="973">
        <f t="shared" si="43"/>
        <v>0</v>
      </c>
      <c r="V190" s="1166"/>
      <c r="W190" s="1167"/>
      <c r="X190" s="1166"/>
      <c r="Y190" s="1166"/>
      <c r="Z190" s="1166"/>
      <c r="AA190" s="1166"/>
      <c r="AB190" s="1168"/>
      <c r="AC190" s="987">
        <f>SUM(B190:AB190)</f>
        <v>24</v>
      </c>
    </row>
    <row r="191" spans="1:29">
      <c r="A191" s="971" t="s">
        <v>12</v>
      </c>
      <c r="B191" s="988">
        <f>B190/B189</f>
        <v>0.2</v>
      </c>
      <c r="C191" s="990">
        <f t="shared" ref="C191:M191" si="44">C190/C189</f>
        <v>0.16666666666666666</v>
      </c>
      <c r="D191" s="1043">
        <f t="shared" si="44"/>
        <v>0</v>
      </c>
      <c r="E191" s="990">
        <f t="shared" si="44"/>
        <v>0.44444444444444442</v>
      </c>
      <c r="F191" s="988">
        <f t="shared" si="44"/>
        <v>0.1111111111111111</v>
      </c>
      <c r="G191" s="989">
        <f t="shared" si="44"/>
        <v>0</v>
      </c>
      <c r="H191" s="988">
        <f t="shared" si="44"/>
        <v>0.125</v>
      </c>
      <c r="I191" s="990">
        <f t="shared" si="44"/>
        <v>0.36363636363636365</v>
      </c>
      <c r="J191" s="988">
        <f t="shared" si="44"/>
        <v>0.3</v>
      </c>
      <c r="K191" s="989">
        <f t="shared" si="44"/>
        <v>0</v>
      </c>
      <c r="L191" s="988">
        <f t="shared" si="44"/>
        <v>0.15384615384615385</v>
      </c>
      <c r="M191" s="995">
        <f t="shared" si="44"/>
        <v>0.22222222222222221</v>
      </c>
      <c r="N191" s="989">
        <f>N190/N189</f>
        <v>0</v>
      </c>
      <c r="O191" s="992">
        <f>O190/O189</f>
        <v>0.2</v>
      </c>
      <c r="P191" s="992"/>
      <c r="Q191" s="992"/>
      <c r="R191" s="992"/>
      <c r="S191" s="993">
        <f t="shared" ref="S191:U191" si="45">S190/S189</f>
        <v>0.22222222222222221</v>
      </c>
      <c r="T191" s="992">
        <f t="shared" si="45"/>
        <v>0.2</v>
      </c>
      <c r="U191" s="989">
        <f t="shared" si="45"/>
        <v>0</v>
      </c>
      <c r="V191" s="1169"/>
      <c r="W191" s="1170"/>
      <c r="X191" s="1169"/>
      <c r="Y191" s="1169"/>
      <c r="Z191" s="1169"/>
      <c r="AA191" s="1169"/>
      <c r="AB191" s="1171"/>
      <c r="AC191" s="996">
        <f>AC190/AC189</f>
        <v>0.17391304347826086</v>
      </c>
    </row>
    <row r="192" spans="1:29">
      <c r="A192" s="971" t="s">
        <v>5</v>
      </c>
      <c r="B192" s="997">
        <f t="shared" ref="B192:G193" si="46">(B200+B208+B224+B232)/4</f>
        <v>4.9583333333333339</v>
      </c>
      <c r="C192" s="998">
        <f t="shared" si="46"/>
        <v>7.125</v>
      </c>
      <c r="D192" s="999">
        <f t="shared" si="46"/>
        <v>5.708333333333333</v>
      </c>
      <c r="E192" s="1000">
        <f t="shared" si="46"/>
        <v>3.25</v>
      </c>
      <c r="F192" s="999">
        <f t="shared" si="46"/>
        <v>5</v>
      </c>
      <c r="G192" s="1001">
        <f t="shared" si="46"/>
        <v>8.75</v>
      </c>
      <c r="H192" s="999">
        <f t="shared" ref="H192:M192" si="47">(H200+H216+H224+H232)/4</f>
        <v>5.25</v>
      </c>
      <c r="I192" s="1107">
        <f t="shared" si="47"/>
        <v>4.375</v>
      </c>
      <c r="J192" s="997">
        <f t="shared" si="47"/>
        <v>4.708333333333333</v>
      </c>
      <c r="K192" s="1108">
        <f t="shared" si="47"/>
        <v>8.875</v>
      </c>
      <c r="L192" s="999">
        <f t="shared" si="47"/>
        <v>3.708333333333333</v>
      </c>
      <c r="M192" s="1000">
        <f t="shared" si="47"/>
        <v>4.458333333333333</v>
      </c>
      <c r="N192" s="998">
        <f>N188/N189</f>
        <v>8.3333333333333339</v>
      </c>
      <c r="O192" s="998">
        <f>O188/O189</f>
        <v>6.8</v>
      </c>
      <c r="P192" s="998"/>
      <c r="Q192" s="998"/>
      <c r="R192" s="998"/>
      <c r="S192" s="997">
        <f t="shared" ref="S192:U192" si="48">S188/S189</f>
        <v>5.5555555555555554</v>
      </c>
      <c r="T192" s="998">
        <f t="shared" si="48"/>
        <v>7</v>
      </c>
      <c r="U192" s="998">
        <f t="shared" si="48"/>
        <v>5.5555555555555554</v>
      </c>
      <c r="V192" s="1172"/>
      <c r="W192" s="1173"/>
      <c r="X192" s="1172"/>
      <c r="Y192" s="1172"/>
      <c r="Z192" s="1172"/>
      <c r="AA192" s="1172"/>
      <c r="AB192" s="1174"/>
      <c r="AC192" s="1002">
        <f>AC188/AC189</f>
        <v>5.5072463768115938</v>
      </c>
    </row>
    <row r="193" spans="1:29">
      <c r="A193" s="1003" t="s">
        <v>8</v>
      </c>
      <c r="B193" s="1004">
        <f t="shared" si="46"/>
        <v>6.25</v>
      </c>
      <c r="C193" s="1005">
        <f t="shared" si="46"/>
        <v>7.625</v>
      </c>
      <c r="D193" s="1109">
        <f t="shared" si="46"/>
        <v>5.708333333333333</v>
      </c>
      <c r="E193" s="1006">
        <f t="shared" si="46"/>
        <v>5.125</v>
      </c>
      <c r="F193" s="1005">
        <f t="shared" si="46"/>
        <v>5.25</v>
      </c>
      <c r="G193" s="1110">
        <f t="shared" si="46"/>
        <v>8.75</v>
      </c>
      <c r="H193" s="1109">
        <f t="shared" ref="H193:M193" si="49">(H201+H217+H225+H233)/4</f>
        <v>5.625</v>
      </c>
      <c r="I193" s="1111">
        <f t="shared" si="49"/>
        <v>6.416666666666667</v>
      </c>
      <c r="J193" s="1004">
        <f t="shared" si="49"/>
        <v>7.25</v>
      </c>
      <c r="K193" s="1112">
        <f t="shared" si="49"/>
        <v>8.875</v>
      </c>
      <c r="L193" s="1109">
        <f t="shared" si="49"/>
        <v>5.1666666666666661</v>
      </c>
      <c r="M193" s="1006">
        <f t="shared" si="49"/>
        <v>5.958333333333333</v>
      </c>
      <c r="N193" s="1005">
        <f>N188/(N189-N190)</f>
        <v>8.3333333333333339</v>
      </c>
      <c r="O193" s="1005">
        <f>O188/(O189-O190)</f>
        <v>8.5</v>
      </c>
      <c r="P193" s="1005"/>
      <c r="Q193" s="1005"/>
      <c r="R193" s="1005"/>
      <c r="S193" s="1004">
        <f t="shared" ref="S193:U193" si="50">S188/(S189-S190)</f>
        <v>7.1428571428571432</v>
      </c>
      <c r="T193" s="1005">
        <f t="shared" si="50"/>
        <v>8.75</v>
      </c>
      <c r="U193" s="1005">
        <f t="shared" si="50"/>
        <v>5.5555555555555554</v>
      </c>
      <c r="V193" s="1175"/>
      <c r="W193" s="1176"/>
      <c r="X193" s="1175"/>
      <c r="Y193" s="1175"/>
      <c r="Z193" s="1175"/>
      <c r="AA193" s="1175"/>
      <c r="AB193" s="1177"/>
      <c r="AC193" s="1007">
        <f>AC188/(AC189-AC190)</f>
        <v>6.666666666666667</v>
      </c>
    </row>
    <row r="194" spans="1:29" ht="3" customHeight="1">
      <c r="M194" s="1129"/>
    </row>
    <row r="195" spans="1:29" hidden="1" outlineLevel="1">
      <c r="A195" s="1178" t="s">
        <v>54</v>
      </c>
      <c r="B195" s="1147"/>
      <c r="C195" s="1146"/>
      <c r="D195" s="1147"/>
      <c r="E195" s="1149"/>
      <c r="F195" s="1146"/>
      <c r="G195" s="1149"/>
      <c r="H195" s="1147"/>
      <c r="I195" s="1149"/>
      <c r="J195" s="1147"/>
      <c r="K195" s="1149"/>
      <c r="L195" s="1147"/>
      <c r="M195" s="1149"/>
      <c r="N195" s="1146"/>
      <c r="O195" s="1146"/>
      <c r="P195" s="1146"/>
      <c r="Q195" s="1146"/>
      <c r="R195" s="1146"/>
      <c r="S195" s="1146"/>
      <c r="T195" s="1146"/>
      <c r="U195" s="1146"/>
      <c r="V195" s="1146"/>
      <c r="W195" s="1146"/>
      <c r="X195" s="1146"/>
      <c r="Y195" s="1146"/>
      <c r="Z195" s="1146"/>
      <c r="AA195" s="1146"/>
      <c r="AB195" s="1149"/>
      <c r="AC195" s="1178"/>
    </row>
    <row r="196" spans="1:29" hidden="1" outlineLevel="1">
      <c r="A196" s="971" t="s">
        <v>3</v>
      </c>
      <c r="B196" s="1027">
        <f>'Gruppe A'!C102</f>
        <v>24</v>
      </c>
      <c r="C196" s="113">
        <f>'Gruppe A'!BJ14</f>
        <v>21</v>
      </c>
      <c r="D196" s="1028">
        <f>'Gruppe A'!BJ124</f>
        <v>13</v>
      </c>
      <c r="E196" s="1029">
        <f>'Gruppe A'!BP102</f>
        <v>21</v>
      </c>
      <c r="F196" s="113">
        <f>'Gruppe A'!P102</f>
        <v>30</v>
      </c>
      <c r="G196" s="1031">
        <f>'Gruppe A'!BJ35</f>
        <v>14</v>
      </c>
      <c r="H196" s="1027">
        <f>'Gruppe A'!BJ148</f>
        <v>8</v>
      </c>
      <c r="I196" s="1029">
        <f>'Gruppe A'!CC102</f>
        <v>20</v>
      </c>
      <c r="J196" s="1028">
        <f>'Gruppe A'!AP102</f>
        <v>22</v>
      </c>
      <c r="K196" s="1079">
        <f>'Gruppe A'!BJ79</f>
        <v>9</v>
      </c>
      <c r="L196" s="1027">
        <f>'Gruppe A'!BJ60</f>
        <v>22</v>
      </c>
      <c r="M196" s="1031">
        <f>'Gruppe A'!AC102</f>
        <v>22</v>
      </c>
      <c r="N196" s="1079">
        <f>'Spiel 7 - Viertelfinal'!B107</f>
        <v>19</v>
      </c>
      <c r="O196" s="1079">
        <f>'Spiel 7 - Viertelfinal'!V107</f>
        <v>20</v>
      </c>
      <c r="P196" s="1079"/>
      <c r="Q196" s="1079"/>
      <c r="R196" s="1079"/>
      <c r="S196" s="1079">
        <f>'Spiel 9 - Final'!B96</f>
        <v>16</v>
      </c>
      <c r="T196" s="1079">
        <f>'Spiel 9 - Final'!V96</f>
        <v>3</v>
      </c>
      <c r="U196" s="1079">
        <f>'Spiel 9 - Final'!AB96</f>
        <v>15</v>
      </c>
      <c r="V196" s="1179"/>
      <c r="W196" s="1179"/>
      <c r="X196" s="1179"/>
      <c r="Y196" s="1179"/>
      <c r="Z196" s="1179"/>
      <c r="AA196" s="1179"/>
      <c r="AB196" s="1180"/>
      <c r="AC196" s="979">
        <f>SUM(B196:AB196)</f>
        <v>299</v>
      </c>
    </row>
    <row r="197" spans="1:29" hidden="1" outlineLevel="1">
      <c r="A197" s="971" t="s">
        <v>4</v>
      </c>
      <c r="B197" s="1028">
        <f>'Gruppe A'!C103</f>
        <v>3</v>
      </c>
      <c r="C197" s="1079">
        <f>'Gruppe A'!BJ15</f>
        <v>2</v>
      </c>
      <c r="D197" s="1028">
        <f>'Gruppe A'!BJ125</f>
        <v>3</v>
      </c>
      <c r="E197" s="1031">
        <f>'Gruppe A'!BP103</f>
        <v>3</v>
      </c>
      <c r="F197" s="1079">
        <f>'Gruppe A'!P103</f>
        <v>3</v>
      </c>
      <c r="G197" s="1030">
        <f>'Gruppe A'!BJ36</f>
        <v>2</v>
      </c>
      <c r="H197" s="1028">
        <f>'Gruppe A'!BJ149</f>
        <v>2</v>
      </c>
      <c r="I197" s="1029">
        <f>'Gruppe A'!CC103</f>
        <v>3</v>
      </c>
      <c r="J197" s="1027">
        <f>'Gruppe A'!AP103</f>
        <v>3</v>
      </c>
      <c r="K197" s="113">
        <f>'Gruppe A'!BJ80</f>
        <v>2</v>
      </c>
      <c r="L197" s="1028">
        <f>'Gruppe A'!BJ61</f>
        <v>4</v>
      </c>
      <c r="M197" s="1031">
        <f>'Gruppe A'!AC103</f>
        <v>3</v>
      </c>
      <c r="N197" s="1079">
        <f>'Spiel 7 - Viertelfinal'!B108</f>
        <v>2</v>
      </c>
      <c r="O197" s="1079">
        <f>'Spiel 7 - Viertelfinal'!V108</f>
        <v>2</v>
      </c>
      <c r="P197" s="1079"/>
      <c r="Q197" s="1079"/>
      <c r="R197" s="1079"/>
      <c r="S197" s="1079">
        <f>'Spiel 9 - Final'!B97</f>
        <v>3</v>
      </c>
      <c r="T197" s="1079">
        <f>'Spiel 9 - Final'!V97</f>
        <v>2</v>
      </c>
      <c r="U197" s="1079">
        <f>'Spiel 9 - Final'!AB97</f>
        <v>3</v>
      </c>
      <c r="V197" s="1179"/>
      <c r="W197" s="1179"/>
      <c r="X197" s="1179"/>
      <c r="Y197" s="1179"/>
      <c r="Z197" s="1179"/>
      <c r="AA197" s="1179"/>
      <c r="AB197" s="1180"/>
      <c r="AC197" s="985">
        <f>SUM(B197:AB197)</f>
        <v>45</v>
      </c>
    </row>
    <row r="198" spans="1:29" hidden="1" outlineLevel="1">
      <c r="A198" s="971" t="s">
        <v>6</v>
      </c>
      <c r="B198" s="972">
        <f>'Gruppe A'!C104</f>
        <v>0</v>
      </c>
      <c r="C198" s="973">
        <f>'Gruppe A'!BJ16</f>
        <v>0</v>
      </c>
      <c r="D198" s="972">
        <f>'Gruppe A'!BJ126</f>
        <v>0</v>
      </c>
      <c r="E198" s="115">
        <f>'Gruppe A'!BP104</f>
        <v>1</v>
      </c>
      <c r="F198" s="972">
        <f>'Gruppe A'!P104</f>
        <v>0</v>
      </c>
      <c r="G198" s="973">
        <f>'Gruppe A'!BJ37</f>
        <v>0</v>
      </c>
      <c r="H198" s="972">
        <f>'Gruppe A'!BJ150</f>
        <v>0</v>
      </c>
      <c r="I198" s="973">
        <f>'Gruppe A'!CC104</f>
        <v>0</v>
      </c>
      <c r="J198" s="1028">
        <f>'Gruppe A'!AP104</f>
        <v>1</v>
      </c>
      <c r="K198" s="973">
        <f>'Gruppe A'!BJ81</f>
        <v>0</v>
      </c>
      <c r="L198" s="1028">
        <f>'Gruppe A'!BJ62</f>
        <v>1</v>
      </c>
      <c r="M198" s="978">
        <f>'Gruppe A'!AC104</f>
        <v>0</v>
      </c>
      <c r="N198" s="973">
        <f>'Spiel 7 - Viertelfinal'!B109</f>
        <v>0</v>
      </c>
      <c r="O198" s="973">
        <f>'Spiel 7 - Viertelfinal'!V109</f>
        <v>0</v>
      </c>
      <c r="P198" s="1079"/>
      <c r="Q198" s="1079"/>
      <c r="R198" s="1079"/>
      <c r="S198" s="1079">
        <f>'Spiel 9 - Final'!B98</f>
        <v>1</v>
      </c>
      <c r="T198" s="1079">
        <f>'Spiel 9 - Final'!V98</f>
        <v>1</v>
      </c>
      <c r="U198" s="973">
        <f>'Spiel 9 - Final'!AB98</f>
        <v>0</v>
      </c>
      <c r="V198" s="1179"/>
      <c r="W198" s="1179"/>
      <c r="X198" s="1179"/>
      <c r="Y198" s="1179"/>
      <c r="Z198" s="1179"/>
      <c r="AA198" s="1179"/>
      <c r="AB198" s="1180"/>
      <c r="AC198" s="987">
        <f>SUM(B198:AB198)</f>
        <v>5</v>
      </c>
    </row>
    <row r="199" spans="1:29" hidden="1" outlineLevel="1">
      <c r="A199" s="971" t="s">
        <v>12</v>
      </c>
      <c r="B199" s="1043">
        <f>'Gruppe A'!C105</f>
        <v>0</v>
      </c>
      <c r="C199" s="989">
        <f>'Gruppe A'!BJ17</f>
        <v>0</v>
      </c>
      <c r="D199" s="1043">
        <f>'Gruppe A'!BJ127</f>
        <v>0</v>
      </c>
      <c r="E199" s="1082">
        <f>'Gruppe A'!BP105</f>
        <v>0.33333333333333331</v>
      </c>
      <c r="F199" s="1043">
        <f>'Gruppe A'!P105</f>
        <v>0</v>
      </c>
      <c r="G199" s="989">
        <f>'Gruppe A'!BJ38</f>
        <v>0</v>
      </c>
      <c r="H199" s="1043">
        <f>'Gruppe A'!BJ151</f>
        <v>0</v>
      </c>
      <c r="I199" s="989">
        <f>'Gruppe A'!CC105</f>
        <v>0</v>
      </c>
      <c r="J199" s="1039">
        <f>'Gruppe A'!AP105</f>
        <v>0.33333333333333331</v>
      </c>
      <c r="K199" s="989">
        <f>'Gruppe A'!BJ82</f>
        <v>0</v>
      </c>
      <c r="L199" s="1039">
        <f>'Gruppe A'!BJ63</f>
        <v>0.25</v>
      </c>
      <c r="M199" s="1042">
        <f>'Gruppe A'!AC105</f>
        <v>0</v>
      </c>
      <c r="N199" s="989">
        <f>'Spiel 7 - Viertelfinal'!B110</f>
        <v>0</v>
      </c>
      <c r="O199" s="989">
        <f>'Spiel 7 - Viertelfinal'!V110</f>
        <v>0</v>
      </c>
      <c r="P199" s="1084"/>
      <c r="Q199" s="1084"/>
      <c r="R199" s="1084"/>
      <c r="S199" s="1084">
        <f>'Spiel 9 - Final'!B99</f>
        <v>0.33333333333333331</v>
      </c>
      <c r="T199" s="1084">
        <f>'Spiel 9 - Final'!V99</f>
        <v>0.5</v>
      </c>
      <c r="U199" s="989">
        <f>'Spiel 9 - Final'!AB99</f>
        <v>0</v>
      </c>
      <c r="V199" s="1181"/>
      <c r="W199" s="1181"/>
      <c r="X199" s="1181"/>
      <c r="Y199" s="1181"/>
      <c r="Z199" s="1181"/>
      <c r="AA199" s="1181"/>
      <c r="AB199" s="1182"/>
      <c r="AC199" s="996">
        <f>AC198/AC197</f>
        <v>0.1111111111111111</v>
      </c>
    </row>
    <row r="200" spans="1:29" hidden="1" outlineLevel="1">
      <c r="A200" s="971" t="s">
        <v>5</v>
      </c>
      <c r="B200" s="1045">
        <f>'Gruppe A'!C106</f>
        <v>8</v>
      </c>
      <c r="C200" s="1088">
        <f>'Gruppe A'!BJ18</f>
        <v>10.5</v>
      </c>
      <c r="D200" s="1047">
        <f>'Gruppe A'!BJ128</f>
        <v>4.333333333333333</v>
      </c>
      <c r="E200" s="1050">
        <f>'Gruppe A'!BP106</f>
        <v>7</v>
      </c>
      <c r="F200" s="1124">
        <f>'Gruppe A'!P106</f>
        <v>10</v>
      </c>
      <c r="G200" s="1049">
        <f>'Gruppe A'!BJ39</f>
        <v>7</v>
      </c>
      <c r="H200" s="1047">
        <f>'Gruppe A'!BJ152</f>
        <v>4</v>
      </c>
      <c r="I200" s="1048">
        <f>'Gruppe A'!CC106</f>
        <v>6.666666666666667</v>
      </c>
      <c r="J200" s="1045">
        <f>'Gruppe A'!AP106</f>
        <v>7.333333333333333</v>
      </c>
      <c r="K200" s="1046">
        <f>'Gruppe A'!BJ83</f>
        <v>4.5</v>
      </c>
      <c r="L200" s="1047">
        <f>'Gruppe A'!BJ64</f>
        <v>5.5</v>
      </c>
      <c r="M200" s="1050">
        <f>'Gruppe A'!AC106</f>
        <v>7.333333333333333</v>
      </c>
      <c r="N200" s="1088">
        <f>'Spiel 7 - Viertelfinal'!B111</f>
        <v>9.5</v>
      </c>
      <c r="O200" s="1088">
        <f>'Spiel 7 - Viertelfinal'!V111</f>
        <v>10</v>
      </c>
      <c r="P200" s="1088"/>
      <c r="Q200" s="1088"/>
      <c r="R200" s="1088"/>
      <c r="S200" s="1088">
        <f>'Spiel 9 - Final'!B100</f>
        <v>5.333333333333333</v>
      </c>
      <c r="T200" s="1088">
        <f>'Spiel 9 - Final'!V100</f>
        <v>1.5</v>
      </c>
      <c r="U200" s="1088">
        <f>'Spiel 9 - Final'!AB100</f>
        <v>5</v>
      </c>
      <c r="V200" s="1183"/>
      <c r="W200" s="1183"/>
      <c r="X200" s="1183"/>
      <c r="Y200" s="1183"/>
      <c r="Z200" s="1183"/>
      <c r="AA200" s="1183"/>
      <c r="AB200" s="1184"/>
      <c r="AC200" s="1002">
        <f>AC196/AC197</f>
        <v>6.6444444444444448</v>
      </c>
    </row>
    <row r="201" spans="1:29" hidden="1" outlineLevel="1">
      <c r="A201" s="1003" t="s">
        <v>8</v>
      </c>
      <c r="B201" s="1053">
        <f>'Gruppe A'!C107</f>
        <v>8</v>
      </c>
      <c r="C201" s="1091">
        <f>'Gruppe A'!BJ19</f>
        <v>10.5</v>
      </c>
      <c r="D201" s="1055">
        <f>'Gruppe A'!BJ129</f>
        <v>4.333333333333333</v>
      </c>
      <c r="E201" s="1058">
        <f>'Gruppe A'!BP107</f>
        <v>10.5</v>
      </c>
      <c r="F201" s="1091">
        <f>'Gruppe A'!P107</f>
        <v>10</v>
      </c>
      <c r="G201" s="1057">
        <f>'Gruppe A'!BJ40</f>
        <v>7</v>
      </c>
      <c r="H201" s="1055">
        <f>'Gruppe A'!BJ153</f>
        <v>4</v>
      </c>
      <c r="I201" s="1056">
        <f>'Gruppe A'!CC107</f>
        <v>6.666666666666667</v>
      </c>
      <c r="J201" s="1053">
        <f>'Gruppe A'!AP107</f>
        <v>11</v>
      </c>
      <c r="K201" s="1054">
        <f>'Gruppe A'!BJ84</f>
        <v>4.5</v>
      </c>
      <c r="L201" s="1055">
        <f>'Gruppe A'!BJ65</f>
        <v>7.333333333333333</v>
      </c>
      <c r="M201" s="1058">
        <f>'Gruppe A'!AC107</f>
        <v>7.333333333333333</v>
      </c>
      <c r="N201" s="1091">
        <f>'Spiel 7 - Viertelfinal'!B112</f>
        <v>9.5</v>
      </c>
      <c r="O201" s="1091">
        <f>'Spiel 7 - Viertelfinal'!V112</f>
        <v>10</v>
      </c>
      <c r="P201" s="1091"/>
      <c r="Q201" s="1091"/>
      <c r="R201" s="1091"/>
      <c r="S201" s="1091">
        <f>'Spiel 9 - Final'!B101</f>
        <v>8</v>
      </c>
      <c r="T201" s="1091">
        <f>'Spiel 9 - Final'!V101</f>
        <v>3</v>
      </c>
      <c r="U201" s="1091">
        <f>'Spiel 9 - Final'!AB101</f>
        <v>5</v>
      </c>
      <c r="V201" s="1185"/>
      <c r="W201" s="1185"/>
      <c r="X201" s="1185"/>
      <c r="Y201" s="1185"/>
      <c r="Z201" s="1185"/>
      <c r="AA201" s="1185"/>
      <c r="AB201" s="1186"/>
      <c r="AC201" s="1007">
        <f>AC196/(AC197-AC198)</f>
        <v>7.4749999999999996</v>
      </c>
    </row>
    <row r="202" spans="1:29" ht="3" hidden="1" customHeight="1" outlineLevel="1">
      <c r="M202" s="1129"/>
    </row>
    <row r="203" spans="1:29" hidden="1" outlineLevel="1">
      <c r="A203" s="1187" t="s">
        <v>149</v>
      </c>
      <c r="B203" s="1188"/>
      <c r="C203" s="1189"/>
      <c r="D203" s="1147"/>
      <c r="E203" s="1149"/>
      <c r="F203" s="1146"/>
      <c r="G203" s="1149"/>
      <c r="H203" s="1147"/>
      <c r="I203" s="1149"/>
      <c r="J203" s="1147"/>
      <c r="K203" s="1149"/>
      <c r="L203" s="1147"/>
      <c r="M203" s="1149"/>
      <c r="N203" s="1022"/>
      <c r="O203" s="1022"/>
      <c r="P203" s="1022"/>
      <c r="Q203" s="1022"/>
      <c r="R203" s="1022"/>
      <c r="S203" s="1022"/>
      <c r="T203" s="1022"/>
      <c r="U203" s="1022"/>
      <c r="V203" s="1022"/>
      <c r="W203" s="1022"/>
      <c r="X203" s="1022"/>
      <c r="Y203" s="1022"/>
      <c r="Z203" s="1022"/>
      <c r="AA203" s="1022"/>
      <c r="AB203" s="1023"/>
      <c r="AC203" s="1178"/>
    </row>
    <row r="204" spans="1:29" hidden="1" outlineLevel="1">
      <c r="A204" s="971" t="s">
        <v>3</v>
      </c>
      <c r="B204" s="1190">
        <f>'Gruppe A'!D102</f>
        <v>7</v>
      </c>
      <c r="C204" s="1191">
        <f>'Gruppe A'!BK14</f>
        <v>4</v>
      </c>
      <c r="D204" s="1192">
        <f>'Gruppe A'!BK124</f>
        <v>18</v>
      </c>
      <c r="E204" s="1193">
        <f>'Gruppe A'!BQ102</f>
        <v>0</v>
      </c>
      <c r="F204" s="1191">
        <f>'Gruppe A'!Q102</f>
        <v>10</v>
      </c>
      <c r="G204" s="1194">
        <f>'Gruppe A'!BK35</f>
        <v>12</v>
      </c>
      <c r="H204" s="1027"/>
      <c r="I204" s="1029"/>
      <c r="J204" s="1028"/>
      <c r="K204" s="1079"/>
      <c r="L204" s="1027"/>
      <c r="M204" s="1031"/>
      <c r="N204" s="1179"/>
      <c r="O204" s="1179"/>
      <c r="P204" s="1179"/>
      <c r="Q204" s="1179"/>
      <c r="R204" s="1179"/>
      <c r="S204" s="1179"/>
      <c r="T204" s="1179"/>
      <c r="U204" s="1179"/>
      <c r="V204" s="1179"/>
      <c r="W204" s="1179"/>
      <c r="X204" s="1179"/>
      <c r="Y204" s="1179"/>
      <c r="Z204" s="1179"/>
      <c r="AA204" s="1179"/>
      <c r="AB204" s="1180"/>
      <c r="AC204" s="979">
        <f>SUM(B204:AB204)</f>
        <v>51</v>
      </c>
    </row>
    <row r="205" spans="1:29" hidden="1" outlineLevel="1">
      <c r="A205" s="971" t="s">
        <v>4</v>
      </c>
      <c r="B205" s="1192">
        <f>'Gruppe A'!D103</f>
        <v>3</v>
      </c>
      <c r="C205" s="1195">
        <f>'Gruppe A'!BK15</f>
        <v>2</v>
      </c>
      <c r="D205" s="1192">
        <f>'Gruppe A'!BK125</f>
        <v>2</v>
      </c>
      <c r="E205" s="1194">
        <f>'Gruppe A'!BQ103</f>
        <v>2</v>
      </c>
      <c r="F205" s="1195">
        <f>'Gruppe A'!Q103</f>
        <v>2</v>
      </c>
      <c r="G205" s="1196">
        <f>'Gruppe A'!BK36</f>
        <v>1</v>
      </c>
      <c r="H205" s="1028"/>
      <c r="I205" s="1029"/>
      <c r="J205" s="1027"/>
      <c r="K205" s="113"/>
      <c r="L205" s="1028"/>
      <c r="M205" s="1031"/>
      <c r="N205" s="1179"/>
      <c r="O205" s="1179"/>
      <c r="P205" s="1179"/>
      <c r="Q205" s="1179"/>
      <c r="R205" s="1179"/>
      <c r="S205" s="1179"/>
      <c r="T205" s="1179"/>
      <c r="U205" s="1179"/>
      <c r="V205" s="1179"/>
      <c r="W205" s="1179"/>
      <c r="X205" s="1179"/>
      <c r="Y205" s="1179"/>
      <c r="Z205" s="1179"/>
      <c r="AA205" s="1179"/>
      <c r="AB205" s="1180"/>
      <c r="AC205" s="985">
        <f>SUM(B205:AB205)</f>
        <v>12</v>
      </c>
    </row>
    <row r="206" spans="1:29" hidden="1" outlineLevel="1">
      <c r="A206" s="971" t="s">
        <v>6</v>
      </c>
      <c r="B206" s="1192">
        <f>'Gruppe A'!D104</f>
        <v>1</v>
      </c>
      <c r="C206" s="1197">
        <f>'Gruppe A'!BK16</f>
        <v>1</v>
      </c>
      <c r="D206" s="1198">
        <f>'Gruppe A'!BK126</f>
        <v>0</v>
      </c>
      <c r="E206" s="1197">
        <f>'Gruppe A'!BQ104</f>
        <v>2</v>
      </c>
      <c r="F206" s="1198">
        <f>'Gruppe A'!Q104</f>
        <v>0</v>
      </c>
      <c r="G206" s="1199">
        <f>'Gruppe A'!BK37</f>
        <v>0</v>
      </c>
      <c r="H206" s="1200"/>
      <c r="I206" s="115"/>
      <c r="J206" s="1200"/>
      <c r="K206" s="1201"/>
      <c r="L206" s="1200"/>
      <c r="M206" s="1202"/>
      <c r="N206" s="1201"/>
      <c r="O206" s="1201"/>
      <c r="P206" s="1179"/>
      <c r="Q206" s="1179"/>
      <c r="R206" s="1179"/>
      <c r="S206" s="1201"/>
      <c r="T206" s="1201"/>
      <c r="U206" s="1201"/>
      <c r="V206" s="1179"/>
      <c r="W206" s="1179"/>
      <c r="X206" s="1179"/>
      <c r="Y206" s="1179"/>
      <c r="Z206" s="1179"/>
      <c r="AA206" s="1179"/>
      <c r="AB206" s="1180"/>
      <c r="AC206" s="987">
        <f>SUM(B206:AB206)</f>
        <v>4</v>
      </c>
    </row>
    <row r="207" spans="1:29" hidden="1" outlineLevel="1">
      <c r="A207" s="971" t="s">
        <v>12</v>
      </c>
      <c r="B207" s="1203">
        <f>'Gruppe A'!D105</f>
        <v>0.33333333333333331</v>
      </c>
      <c r="C207" s="1204">
        <f>'Gruppe A'!BK17</f>
        <v>0.5</v>
      </c>
      <c r="D207" s="1205">
        <f>'Gruppe A'!BK127</f>
        <v>0</v>
      </c>
      <c r="E207" s="1204">
        <f>'Gruppe A'!BQ105</f>
        <v>1</v>
      </c>
      <c r="F207" s="1205">
        <f>'Gruppe A'!Q105</f>
        <v>0</v>
      </c>
      <c r="G207" s="1206">
        <f>'Gruppe A'!BK38</f>
        <v>0</v>
      </c>
      <c r="H207" s="1207"/>
      <c r="I207" s="1082"/>
      <c r="J207" s="1207"/>
      <c r="K207" s="1208"/>
      <c r="L207" s="1207"/>
      <c r="M207" s="1209"/>
      <c r="N207" s="1208"/>
      <c r="O207" s="1208"/>
      <c r="P207" s="1181"/>
      <c r="Q207" s="1181"/>
      <c r="R207" s="1181"/>
      <c r="S207" s="1208"/>
      <c r="T207" s="1208"/>
      <c r="U207" s="1208"/>
      <c r="V207" s="1181"/>
      <c r="W207" s="1181"/>
      <c r="X207" s="1181"/>
      <c r="Y207" s="1181"/>
      <c r="Z207" s="1181"/>
      <c r="AA207" s="1181"/>
      <c r="AB207" s="1182"/>
      <c r="AC207" s="996">
        <f>AC206/AC205</f>
        <v>0.33333333333333331</v>
      </c>
    </row>
    <row r="208" spans="1:29" hidden="1" outlineLevel="1">
      <c r="A208" s="971" t="s">
        <v>5</v>
      </c>
      <c r="B208" s="1210">
        <f>'Gruppe A'!D106</f>
        <v>2.3333333333333335</v>
      </c>
      <c r="C208" s="1211">
        <f>'Gruppe A'!BK18</f>
        <v>2</v>
      </c>
      <c r="D208" s="1212">
        <f>'Gruppe A'!BK128</f>
        <v>9</v>
      </c>
      <c r="E208" s="1213">
        <f>'Gruppe A'!BQ106</f>
        <v>0</v>
      </c>
      <c r="F208" s="1214">
        <f>'Gruppe A'!Q106</f>
        <v>5</v>
      </c>
      <c r="G208" s="1215">
        <f>'Gruppe A'!BK39</f>
        <v>12</v>
      </c>
      <c r="H208" s="1047"/>
      <c r="I208" s="1048"/>
      <c r="J208" s="1045"/>
      <c r="K208" s="1046"/>
      <c r="L208" s="1047"/>
      <c r="M208" s="1050"/>
      <c r="N208" s="1183"/>
      <c r="O208" s="1183"/>
      <c r="P208" s="1183"/>
      <c r="Q208" s="1183"/>
      <c r="R208" s="1183"/>
      <c r="S208" s="1183"/>
      <c r="T208" s="1183"/>
      <c r="U208" s="1183"/>
      <c r="V208" s="1183"/>
      <c r="W208" s="1183"/>
      <c r="X208" s="1183"/>
      <c r="Y208" s="1183"/>
      <c r="Z208" s="1183"/>
      <c r="AA208" s="1183"/>
      <c r="AB208" s="1184"/>
      <c r="AC208" s="1002">
        <f>AC204/AC205</f>
        <v>4.25</v>
      </c>
    </row>
    <row r="209" spans="1:29" hidden="1" outlineLevel="1">
      <c r="A209" s="1003" t="s">
        <v>8</v>
      </c>
      <c r="B209" s="1216">
        <f>'Gruppe A'!D107</f>
        <v>3.5</v>
      </c>
      <c r="C209" s="1217">
        <f>'Gruppe A'!BK19</f>
        <v>4</v>
      </c>
      <c r="D209" s="1218">
        <f>'Gruppe A'!BK129</f>
        <v>9</v>
      </c>
      <c r="E209" s="1219">
        <f>'Gruppe A'!BQ107</f>
        <v>0</v>
      </c>
      <c r="F209" s="1217">
        <f>'Gruppe A'!Q107</f>
        <v>5</v>
      </c>
      <c r="G209" s="1220">
        <f>'Gruppe A'!BK40</f>
        <v>12</v>
      </c>
      <c r="H209" s="1055"/>
      <c r="I209" s="1056"/>
      <c r="J209" s="1053"/>
      <c r="K209" s="1054"/>
      <c r="L209" s="1055"/>
      <c r="M209" s="1058"/>
      <c r="N209" s="1185"/>
      <c r="O209" s="1185"/>
      <c r="P209" s="1185"/>
      <c r="Q209" s="1185"/>
      <c r="R209" s="1185"/>
      <c r="S209" s="1185"/>
      <c r="T209" s="1185"/>
      <c r="U209" s="1185"/>
      <c r="V209" s="1185"/>
      <c r="W209" s="1185"/>
      <c r="X209" s="1185"/>
      <c r="Y209" s="1185"/>
      <c r="Z209" s="1185"/>
      <c r="AA209" s="1185"/>
      <c r="AB209" s="1186"/>
      <c r="AC209" s="1007">
        <f>AC204/(AC205-AC206)</f>
        <v>6.375</v>
      </c>
    </row>
    <row r="210" spans="1:29" ht="3" hidden="1" customHeight="1" outlineLevel="1">
      <c r="M210" s="1129"/>
    </row>
    <row r="211" spans="1:29" hidden="1" outlineLevel="1">
      <c r="A211" s="1020" t="s">
        <v>57</v>
      </c>
      <c r="B211" s="1188"/>
      <c r="C211" s="1189"/>
      <c r="D211" s="1147"/>
      <c r="E211" s="1149"/>
      <c r="F211" s="1147"/>
      <c r="G211" s="1149"/>
      <c r="H211" s="1147"/>
      <c r="I211" s="1149"/>
      <c r="J211" s="1147"/>
      <c r="K211" s="1149"/>
      <c r="L211" s="1147"/>
      <c r="M211" s="1149"/>
      <c r="N211" s="1022"/>
      <c r="O211" s="1022"/>
      <c r="P211" s="1022"/>
      <c r="Q211" s="1022"/>
      <c r="R211" s="1022"/>
      <c r="S211" s="1022"/>
      <c r="T211" s="1022"/>
      <c r="U211" s="1022"/>
      <c r="V211" s="1022"/>
      <c r="W211" s="1022"/>
      <c r="X211" s="1022"/>
      <c r="Y211" s="1022"/>
      <c r="Z211" s="1022"/>
      <c r="AA211" s="1022"/>
      <c r="AB211" s="1023"/>
      <c r="AC211" s="1178"/>
    </row>
    <row r="212" spans="1:29" hidden="1" outlineLevel="1">
      <c r="A212" s="971" t="s">
        <v>3</v>
      </c>
      <c r="B212" s="971"/>
      <c r="C212" s="1221"/>
      <c r="D212" s="971"/>
      <c r="E212" s="1221"/>
      <c r="F212" s="971"/>
      <c r="G212" s="1221"/>
      <c r="H212" s="1027">
        <f>'Gruppe A'!BK148</f>
        <v>14</v>
      </c>
      <c r="I212" s="1029">
        <f>'Gruppe A'!CD102</f>
        <v>22</v>
      </c>
      <c r="J212" s="1028">
        <f>'Gruppe A'!AQ102</f>
        <v>15</v>
      </c>
      <c r="K212" s="1079">
        <f>'Gruppe A'!BK79</f>
        <v>11</v>
      </c>
      <c r="L212" s="1027">
        <f>'Gruppe A'!BK60</f>
        <v>33</v>
      </c>
      <c r="M212" s="1031">
        <f>'Gruppe A'!AD102</f>
        <v>9</v>
      </c>
      <c r="N212" s="1079">
        <f>'Spiel 7 - Viertelfinal'!C107</f>
        <v>16</v>
      </c>
      <c r="O212" s="1079">
        <f>'Spiel 7 - Viertelfinal'!X107</f>
        <v>14</v>
      </c>
      <c r="P212" s="1079"/>
      <c r="Q212" s="1079"/>
      <c r="R212" s="1079"/>
      <c r="S212" s="1079">
        <f>'Spiel 9 - Final'!C96</f>
        <v>22</v>
      </c>
      <c r="T212" s="1079">
        <f>'Spiel 9 - Final'!W96</f>
        <v>12</v>
      </c>
      <c r="U212" s="1079">
        <f>'Spiel 9 - Final'!AC96</f>
        <v>15</v>
      </c>
      <c r="V212" s="1179"/>
      <c r="W212" s="1179"/>
      <c r="X212" s="1179"/>
      <c r="Y212" s="1179"/>
      <c r="Z212" s="1179"/>
      <c r="AA212" s="1179"/>
      <c r="AB212" s="1180"/>
      <c r="AC212" s="979">
        <f>SUM(B212:AB212)</f>
        <v>183</v>
      </c>
    </row>
    <row r="213" spans="1:29" hidden="1" outlineLevel="1">
      <c r="A213" s="971" t="s">
        <v>4</v>
      </c>
      <c r="B213" s="971"/>
      <c r="C213" s="1221"/>
      <c r="D213" s="971"/>
      <c r="E213" s="1221"/>
      <c r="F213" s="971"/>
      <c r="G213" s="1221"/>
      <c r="H213" s="1028">
        <f>'Gruppe A'!BK149</f>
        <v>2</v>
      </c>
      <c r="I213" s="1029">
        <f>'Gruppe A'!CD103</f>
        <v>3</v>
      </c>
      <c r="J213" s="1027">
        <f>'Gruppe A'!AQ103</f>
        <v>3</v>
      </c>
      <c r="K213" s="113">
        <f>'Gruppe A'!BK80</f>
        <v>1</v>
      </c>
      <c r="L213" s="1028">
        <f>'Gruppe A'!BK61</f>
        <v>3</v>
      </c>
      <c r="M213" s="1031">
        <f>'Gruppe A'!AD103</f>
        <v>2</v>
      </c>
      <c r="N213" s="1079">
        <f>'Spiel 7 - Viertelfinal'!C108</f>
        <v>2</v>
      </c>
      <c r="O213" s="1079">
        <f>'Spiel 7 - Viertelfinal'!X108</f>
        <v>2</v>
      </c>
      <c r="P213" s="1079"/>
      <c r="Q213" s="1079"/>
      <c r="R213" s="1079"/>
      <c r="S213" s="1079">
        <f>'Spiel 9 - Final'!C97</f>
        <v>2</v>
      </c>
      <c r="T213" s="1079">
        <f>'Spiel 9 - Final'!W97</f>
        <v>1</v>
      </c>
      <c r="U213" s="1079">
        <f>'Spiel 9 - Final'!AC97</f>
        <v>2</v>
      </c>
      <c r="V213" s="1179"/>
      <c r="W213" s="1179"/>
      <c r="X213" s="1179"/>
      <c r="Y213" s="1179"/>
      <c r="Z213" s="1179"/>
      <c r="AA213" s="1179"/>
      <c r="AB213" s="1180"/>
      <c r="AC213" s="985">
        <f>SUM(B213:AB213)</f>
        <v>23</v>
      </c>
    </row>
    <row r="214" spans="1:29" hidden="1" outlineLevel="1">
      <c r="A214" s="971" t="s">
        <v>6</v>
      </c>
      <c r="B214" s="971"/>
      <c r="C214" s="1221"/>
      <c r="D214" s="971"/>
      <c r="E214" s="1221"/>
      <c r="F214" s="971"/>
      <c r="G214" s="1221"/>
      <c r="H214" s="972">
        <f>'Gruppe A'!BK150</f>
        <v>0</v>
      </c>
      <c r="I214" s="115">
        <f>'Gruppe A'!CD104</f>
        <v>1</v>
      </c>
      <c r="J214" s="972">
        <f>'Gruppe A'!AQ104</f>
        <v>0</v>
      </c>
      <c r="K214" s="973">
        <f>'Gruppe A'!BK81</f>
        <v>0</v>
      </c>
      <c r="L214" s="972">
        <f>'Gruppe A'!BK62</f>
        <v>0</v>
      </c>
      <c r="M214" s="978">
        <f>'Gruppe A'!AD104</f>
        <v>0</v>
      </c>
      <c r="N214" s="973">
        <f>'Spiel 7 - Viertelfinal'!C109</f>
        <v>0</v>
      </c>
      <c r="O214" s="973">
        <f>'Spiel 7 - Viertelfinal'!X109</f>
        <v>0</v>
      </c>
      <c r="P214" s="1079"/>
      <c r="Q214" s="1079"/>
      <c r="R214" s="1079"/>
      <c r="S214" s="973">
        <f>'Spiel 9 - Final'!C98</f>
        <v>0</v>
      </c>
      <c r="T214" s="973">
        <f>'Spiel 9 - Final'!W98</f>
        <v>0</v>
      </c>
      <c r="U214" s="973">
        <f>'Spiel 9 - Final'!AC98</f>
        <v>0</v>
      </c>
      <c r="V214" s="1179"/>
      <c r="W214" s="1179"/>
      <c r="X214" s="1179"/>
      <c r="Y214" s="1179"/>
      <c r="Z214" s="1179"/>
      <c r="AA214" s="1179"/>
      <c r="AB214" s="1180"/>
      <c r="AC214" s="987">
        <f>SUM(B214:AB214)</f>
        <v>1</v>
      </c>
    </row>
    <row r="215" spans="1:29" hidden="1" outlineLevel="1">
      <c r="A215" s="971" t="s">
        <v>12</v>
      </c>
      <c r="B215" s="971"/>
      <c r="C215" s="1221"/>
      <c r="D215" s="971"/>
      <c r="E215" s="1221"/>
      <c r="F215" s="971"/>
      <c r="G215" s="1221"/>
      <c r="H215" s="1043">
        <f>'Gruppe A'!BK151</f>
        <v>0</v>
      </c>
      <c r="I215" s="1082">
        <f>'Gruppe A'!CD105</f>
        <v>0.33333333333333331</v>
      </c>
      <c r="J215" s="1043">
        <f>'Gruppe A'!AQ105</f>
        <v>0</v>
      </c>
      <c r="K215" s="989">
        <f>'Gruppe A'!BK82</f>
        <v>0</v>
      </c>
      <c r="L215" s="1043">
        <f>'Gruppe A'!BK63</f>
        <v>0</v>
      </c>
      <c r="M215" s="1042">
        <f>'Gruppe A'!AD105</f>
        <v>0</v>
      </c>
      <c r="N215" s="989">
        <f>'Spiel 7 - Viertelfinal'!C110</f>
        <v>0</v>
      </c>
      <c r="O215" s="989">
        <f>'Spiel 7 - Viertelfinal'!X110</f>
        <v>0</v>
      </c>
      <c r="P215" s="1084"/>
      <c r="Q215" s="1084"/>
      <c r="R215" s="1084"/>
      <c r="S215" s="989">
        <f>'Spiel 9 - Final'!C99</f>
        <v>0</v>
      </c>
      <c r="T215" s="989">
        <f>'Spiel 9 - Final'!W99</f>
        <v>0</v>
      </c>
      <c r="U215" s="989">
        <f>'Spiel 9 - Final'!AC99</f>
        <v>0</v>
      </c>
      <c r="V215" s="1181"/>
      <c r="W215" s="1181"/>
      <c r="X215" s="1181"/>
      <c r="Y215" s="1181"/>
      <c r="Z215" s="1181"/>
      <c r="AA215" s="1181"/>
      <c r="AB215" s="1182"/>
      <c r="AC215" s="996">
        <f>AC214/AC213</f>
        <v>4.3478260869565216E-2</v>
      </c>
    </row>
    <row r="216" spans="1:29" hidden="1" outlineLevel="1">
      <c r="A216" s="971" t="s">
        <v>5</v>
      </c>
      <c r="B216" s="971"/>
      <c r="C216" s="1221"/>
      <c r="D216" s="971"/>
      <c r="E216" s="1221"/>
      <c r="F216" s="971"/>
      <c r="G216" s="1221"/>
      <c r="H216" s="1047">
        <f>'Gruppe A'!BK152</f>
        <v>7</v>
      </c>
      <c r="I216" s="1048">
        <f>'Gruppe A'!CD106</f>
        <v>7.333333333333333</v>
      </c>
      <c r="J216" s="1045">
        <f>'Gruppe A'!AQ106</f>
        <v>5</v>
      </c>
      <c r="K216" s="1046">
        <f>'Gruppe A'!BK83</f>
        <v>11</v>
      </c>
      <c r="L216" s="1047">
        <f>'Gruppe A'!BK64</f>
        <v>11</v>
      </c>
      <c r="M216" s="1050">
        <f>'Gruppe A'!AD106</f>
        <v>4.5</v>
      </c>
      <c r="N216" s="1088">
        <f>'Spiel 7 - Viertelfinal'!C111</f>
        <v>8</v>
      </c>
      <c r="O216" s="1088">
        <f>'Spiel 7 - Viertelfinal'!X111</f>
        <v>7</v>
      </c>
      <c r="P216" s="1088"/>
      <c r="Q216" s="1088"/>
      <c r="R216" s="1088"/>
      <c r="S216" s="1088">
        <f>'Spiel 9 - Final'!C100</f>
        <v>11</v>
      </c>
      <c r="T216" s="1088">
        <f>'Spiel 9 - Final'!W100</f>
        <v>12</v>
      </c>
      <c r="U216" s="1088">
        <f>'Spiel 9 - Final'!AC100</f>
        <v>7.5</v>
      </c>
      <c r="V216" s="1183"/>
      <c r="W216" s="1183"/>
      <c r="X216" s="1183"/>
      <c r="Y216" s="1183"/>
      <c r="Z216" s="1183"/>
      <c r="AA216" s="1183"/>
      <c r="AB216" s="1184"/>
      <c r="AC216" s="1002">
        <f>AC212/AC213</f>
        <v>7.9565217391304346</v>
      </c>
    </row>
    <row r="217" spans="1:29" hidden="1" outlineLevel="1">
      <c r="A217" s="1003" t="s">
        <v>8</v>
      </c>
      <c r="B217" s="1003"/>
      <c r="C217" s="1222"/>
      <c r="D217" s="1003"/>
      <c r="E217" s="1222"/>
      <c r="F217" s="1003"/>
      <c r="G217" s="1222"/>
      <c r="H217" s="1055">
        <f>'Gruppe A'!BK153</f>
        <v>7</v>
      </c>
      <c r="I217" s="1056">
        <f>'Gruppe A'!CD107</f>
        <v>11</v>
      </c>
      <c r="J217" s="1053">
        <f>'Gruppe A'!AQ107</f>
        <v>5</v>
      </c>
      <c r="K217" s="1054">
        <f>'Gruppe A'!BK84</f>
        <v>11</v>
      </c>
      <c r="L217" s="1055">
        <f>'Gruppe A'!BK65</f>
        <v>11</v>
      </c>
      <c r="M217" s="1058">
        <f>'Gruppe A'!AD107</f>
        <v>4.5</v>
      </c>
      <c r="N217" s="1091">
        <f>'Spiel 7 - Viertelfinal'!C112</f>
        <v>8</v>
      </c>
      <c r="O217" s="1091">
        <f>'Spiel 7 - Viertelfinal'!X112</f>
        <v>7</v>
      </c>
      <c r="P217" s="1091"/>
      <c r="Q217" s="1091"/>
      <c r="R217" s="1091"/>
      <c r="S217" s="1091">
        <f>'Spiel 9 - Final'!C101</f>
        <v>11</v>
      </c>
      <c r="T217" s="1091">
        <f>'Spiel 9 - Final'!W101</f>
        <v>12</v>
      </c>
      <c r="U217" s="1091">
        <f>'Spiel 9 - Final'!AC101</f>
        <v>7.5</v>
      </c>
      <c r="V217" s="1185"/>
      <c r="W217" s="1185"/>
      <c r="X217" s="1185"/>
      <c r="Y217" s="1185"/>
      <c r="Z217" s="1185"/>
      <c r="AA217" s="1185"/>
      <c r="AB217" s="1186"/>
      <c r="AC217" s="1007">
        <f>AC212/(AC213-AC214)</f>
        <v>8.3181818181818183</v>
      </c>
    </row>
    <row r="218" spans="1:29" ht="3" hidden="1" customHeight="1" outlineLevel="1">
      <c r="M218" s="1129"/>
    </row>
    <row r="219" spans="1:29" hidden="1" outlineLevel="1">
      <c r="A219" s="1178" t="s">
        <v>115</v>
      </c>
      <c r="B219" s="1147"/>
      <c r="C219" s="1146"/>
      <c r="D219" s="1147"/>
      <c r="E219" s="1149"/>
      <c r="F219" s="1146"/>
      <c r="G219" s="1149"/>
      <c r="H219" s="1147"/>
      <c r="I219" s="1149"/>
      <c r="J219" s="1147"/>
      <c r="K219" s="1149"/>
      <c r="L219" s="1147"/>
      <c r="M219" s="1149"/>
      <c r="N219" s="1022"/>
      <c r="O219" s="1022"/>
      <c r="P219" s="1022"/>
      <c r="Q219" s="1022"/>
      <c r="R219" s="1022"/>
      <c r="S219" s="1022"/>
      <c r="T219" s="1022"/>
      <c r="U219" s="1022"/>
      <c r="V219" s="1022"/>
      <c r="W219" s="1022"/>
      <c r="X219" s="1022"/>
      <c r="Y219" s="1022"/>
      <c r="Z219" s="1022"/>
      <c r="AA219" s="1022"/>
      <c r="AB219" s="1023"/>
      <c r="AC219" s="1178"/>
    </row>
    <row r="220" spans="1:29" hidden="1" outlineLevel="1">
      <c r="A220" s="971" t="s">
        <v>3</v>
      </c>
      <c r="B220" s="1027">
        <f>'Gruppe A'!E102</f>
        <v>8</v>
      </c>
      <c r="C220" s="113">
        <f>'Gruppe A'!BL14</f>
        <v>6</v>
      </c>
      <c r="D220" s="1028">
        <f>'Gruppe A'!BL124</f>
        <v>13</v>
      </c>
      <c r="E220" s="1029">
        <f>'Gruppe A'!BR102</f>
        <v>8</v>
      </c>
      <c r="F220" s="113">
        <f>'Gruppe A'!R102</f>
        <v>8</v>
      </c>
      <c r="G220" s="1031">
        <f>'Gruppe A'!BL35</f>
        <v>5</v>
      </c>
      <c r="H220" s="1027">
        <f>'Gruppe A'!BL148</f>
        <v>3</v>
      </c>
      <c r="I220" s="1029">
        <f>'Gruppe A'!CE102</f>
        <v>3</v>
      </c>
      <c r="J220" s="1028">
        <f>'Gruppe A'!AR102</f>
        <v>10</v>
      </c>
      <c r="K220" s="1079">
        <f>'Gruppe A'!BL79</f>
        <v>8</v>
      </c>
      <c r="L220" s="1027">
        <f>'Gruppe A'!BL60</f>
        <v>7</v>
      </c>
      <c r="M220" s="1031">
        <f>'Gruppe A'!AE102</f>
        <v>5</v>
      </c>
      <c r="N220" s="1079">
        <f>'Spiel 7 - Viertelfinal'!D107</f>
        <v>5</v>
      </c>
      <c r="O220" s="1079">
        <f>'Spiel 7 - Viertelfinal'!Y107</f>
        <v>0</v>
      </c>
      <c r="P220" s="1079"/>
      <c r="Q220" s="1079"/>
      <c r="R220" s="1079"/>
      <c r="S220" s="1079">
        <f>'Spiel 9 - Final'!D96</f>
        <v>2</v>
      </c>
      <c r="T220" s="1079">
        <f>'Spiel 9 - Final'!X96</f>
        <v>8</v>
      </c>
      <c r="U220" s="1079">
        <f>'Spiel 9 - Final'!AD96</f>
        <v>13</v>
      </c>
      <c r="V220" s="1079"/>
      <c r="W220" s="1079"/>
      <c r="X220" s="1079"/>
      <c r="Y220" s="1079"/>
      <c r="Z220" s="1079"/>
      <c r="AA220" s="1079"/>
      <c r="AB220" s="1030"/>
      <c r="AC220" s="979">
        <f>SUM(B220:AB220)</f>
        <v>112</v>
      </c>
    </row>
    <row r="221" spans="1:29" hidden="1" outlineLevel="1">
      <c r="A221" s="971" t="s">
        <v>4</v>
      </c>
      <c r="B221" s="1028">
        <f>'Gruppe A'!E103</f>
        <v>2</v>
      </c>
      <c r="C221" s="1079">
        <f>'Gruppe A'!BL15</f>
        <v>1</v>
      </c>
      <c r="D221" s="1028">
        <f>'Gruppe A'!BL125</f>
        <v>2</v>
      </c>
      <c r="E221" s="1031">
        <f>'Gruppe A'!BR103</f>
        <v>2</v>
      </c>
      <c r="F221" s="1079">
        <f>'Gruppe A'!R103</f>
        <v>2</v>
      </c>
      <c r="G221" s="1030">
        <f>'Gruppe A'!BL36</f>
        <v>1</v>
      </c>
      <c r="H221" s="1028">
        <f>'Gruppe A'!BL149</f>
        <v>2</v>
      </c>
      <c r="I221" s="1029">
        <f>'Gruppe A'!CE103</f>
        <v>3</v>
      </c>
      <c r="J221" s="1027">
        <f>'Gruppe A'!AR103</f>
        <v>2</v>
      </c>
      <c r="K221" s="113">
        <f>'Gruppe A'!BL80</f>
        <v>1</v>
      </c>
      <c r="L221" s="1028">
        <f>'Gruppe A'!BL61</f>
        <v>3</v>
      </c>
      <c r="M221" s="1031">
        <f>'Gruppe A'!AE103</f>
        <v>2</v>
      </c>
      <c r="N221" s="1079">
        <f>'Spiel 7 - Viertelfinal'!D108</f>
        <v>1</v>
      </c>
      <c r="O221" s="1079">
        <f>'Spiel 7 - Viertelfinal'!Y108</f>
        <v>1</v>
      </c>
      <c r="P221" s="1079"/>
      <c r="Q221" s="1079"/>
      <c r="R221" s="1079"/>
      <c r="S221" s="1079">
        <f>'Spiel 9 - Final'!D97</f>
        <v>2</v>
      </c>
      <c r="T221" s="1079">
        <f>'Spiel 9 - Final'!X97</f>
        <v>1</v>
      </c>
      <c r="U221" s="1079">
        <f>'Spiel 9 - Final'!AD97</f>
        <v>2</v>
      </c>
      <c r="V221" s="1079"/>
      <c r="W221" s="1079"/>
      <c r="X221" s="1079"/>
      <c r="Y221" s="1079"/>
      <c r="Z221" s="1079"/>
      <c r="AA221" s="1079"/>
      <c r="AB221" s="1030"/>
      <c r="AC221" s="985">
        <f>SUM(B221:AB221)</f>
        <v>30</v>
      </c>
    </row>
    <row r="222" spans="1:29" hidden="1" outlineLevel="1">
      <c r="A222" s="971" t="s">
        <v>6</v>
      </c>
      <c r="B222" s="1028">
        <f>'Gruppe A'!E104</f>
        <v>1</v>
      </c>
      <c r="C222" s="973">
        <f>'Gruppe A'!BL16</f>
        <v>0</v>
      </c>
      <c r="D222" s="972">
        <f>'Gruppe A'!BL126</f>
        <v>0</v>
      </c>
      <c r="E222" s="115">
        <f>'Gruppe A'!BR104</f>
        <v>1</v>
      </c>
      <c r="F222" s="972">
        <f>'Gruppe A'!R104</f>
        <v>0</v>
      </c>
      <c r="G222" s="973">
        <f>'Gruppe A'!BL37</f>
        <v>0</v>
      </c>
      <c r="H222" s="1028">
        <f>'Gruppe A'!BL150</f>
        <v>1</v>
      </c>
      <c r="I222" s="115">
        <f>'Gruppe A'!CE104</f>
        <v>2</v>
      </c>
      <c r="J222" s="1028">
        <f>'Gruppe A'!AR104</f>
        <v>1</v>
      </c>
      <c r="K222" s="973">
        <f>'Gruppe A'!BL81</f>
        <v>0</v>
      </c>
      <c r="L222" s="972">
        <f>'Gruppe A'!BL62</f>
        <v>0</v>
      </c>
      <c r="M222" s="1030">
        <f>'Gruppe A'!AE104</f>
        <v>1</v>
      </c>
      <c r="N222" s="973">
        <f>'Spiel 7 - Viertelfinal'!D109</f>
        <v>0</v>
      </c>
      <c r="O222" s="1079">
        <f>'Spiel 7 - Viertelfinal'!Y109</f>
        <v>1</v>
      </c>
      <c r="P222" s="1079"/>
      <c r="Q222" s="1079"/>
      <c r="R222" s="1079"/>
      <c r="S222" s="1079">
        <f>'Spiel 9 - Final'!D98</f>
        <v>1</v>
      </c>
      <c r="T222" s="973">
        <f>'Spiel 9 - Final'!X98</f>
        <v>0</v>
      </c>
      <c r="U222" s="973">
        <f>'Spiel 9 - Final'!AD98</f>
        <v>0</v>
      </c>
      <c r="V222" s="1079"/>
      <c r="W222" s="1079"/>
      <c r="X222" s="1079"/>
      <c r="Y222" s="1079"/>
      <c r="Z222" s="1079"/>
      <c r="AA222" s="1079"/>
      <c r="AB222" s="1030"/>
      <c r="AC222" s="987">
        <f>SUM(B222:AB222)</f>
        <v>9</v>
      </c>
    </row>
    <row r="223" spans="1:29" hidden="1" outlineLevel="1">
      <c r="A223" s="971" t="s">
        <v>12</v>
      </c>
      <c r="B223" s="1039">
        <f>'Gruppe A'!E105</f>
        <v>0.5</v>
      </c>
      <c r="C223" s="989">
        <f>'Gruppe A'!BL17</f>
        <v>0</v>
      </c>
      <c r="D223" s="1043">
        <f>'Gruppe A'!BL127</f>
        <v>0</v>
      </c>
      <c r="E223" s="1082">
        <f>'Gruppe A'!BR105</f>
        <v>0.5</v>
      </c>
      <c r="F223" s="1043">
        <f>'Gruppe A'!R105</f>
        <v>0</v>
      </c>
      <c r="G223" s="989">
        <f>'Gruppe A'!BL38</f>
        <v>0</v>
      </c>
      <c r="H223" s="1039">
        <f>'Gruppe A'!BL151</f>
        <v>0.5</v>
      </c>
      <c r="I223" s="1082">
        <f>'Gruppe A'!CE105</f>
        <v>0.66666666666666663</v>
      </c>
      <c r="J223" s="1039">
        <f>'Gruppe A'!AR105</f>
        <v>0.5</v>
      </c>
      <c r="K223" s="989">
        <f>'Gruppe A'!BL82</f>
        <v>0</v>
      </c>
      <c r="L223" s="1043">
        <f>'Gruppe A'!BL63</f>
        <v>0</v>
      </c>
      <c r="M223" s="1086">
        <f>'Gruppe A'!AE105</f>
        <v>0.5</v>
      </c>
      <c r="N223" s="989">
        <f>'Spiel 7 - Viertelfinal'!D110</f>
        <v>0</v>
      </c>
      <c r="O223" s="1084">
        <f>'Spiel 7 - Viertelfinal'!Y110</f>
        <v>1</v>
      </c>
      <c r="P223" s="1084"/>
      <c r="Q223" s="1084"/>
      <c r="R223" s="1084"/>
      <c r="S223" s="1084">
        <f>'Spiel 9 - Final'!D99</f>
        <v>0.5</v>
      </c>
      <c r="T223" s="989">
        <f>'Spiel 9 - Final'!X99</f>
        <v>0</v>
      </c>
      <c r="U223" s="989">
        <f>'Spiel 9 - Final'!AD99</f>
        <v>0</v>
      </c>
      <c r="V223" s="1084"/>
      <c r="W223" s="1084"/>
      <c r="X223" s="1084"/>
      <c r="Y223" s="1084"/>
      <c r="Z223" s="1084"/>
      <c r="AA223" s="1084"/>
      <c r="AB223" s="1086"/>
      <c r="AC223" s="996">
        <f>AC222/AC221</f>
        <v>0.3</v>
      </c>
    </row>
    <row r="224" spans="1:29" hidden="1" outlineLevel="1">
      <c r="A224" s="971" t="s">
        <v>5</v>
      </c>
      <c r="B224" s="1045">
        <f>'Gruppe A'!E106</f>
        <v>4</v>
      </c>
      <c r="C224" s="1088">
        <f>'Gruppe A'!BL18</f>
        <v>6</v>
      </c>
      <c r="D224" s="1047">
        <f>'Gruppe A'!BL128</f>
        <v>6.5</v>
      </c>
      <c r="E224" s="1050">
        <f>'Gruppe A'!BR106</f>
        <v>4</v>
      </c>
      <c r="F224" s="1124">
        <f>'Gruppe A'!R106</f>
        <v>4</v>
      </c>
      <c r="G224" s="1049">
        <f>'Gruppe A'!BL39</f>
        <v>5</v>
      </c>
      <c r="H224" s="1047">
        <f>'Gruppe A'!BL152</f>
        <v>1.5</v>
      </c>
      <c r="I224" s="1048">
        <f>'Gruppe A'!CE106</f>
        <v>1</v>
      </c>
      <c r="J224" s="1045">
        <f>'Gruppe A'!AR106</f>
        <v>5</v>
      </c>
      <c r="K224" s="1046">
        <f>'Gruppe A'!BL83</f>
        <v>8</v>
      </c>
      <c r="L224" s="1047">
        <f>'Gruppe A'!BL64</f>
        <v>2.3333333333333335</v>
      </c>
      <c r="M224" s="1050">
        <f>'Gruppe A'!AE106</f>
        <v>2.5</v>
      </c>
      <c r="N224" s="1088">
        <f>'Spiel 7 - Viertelfinal'!D111</f>
        <v>5</v>
      </c>
      <c r="O224" s="1088">
        <f>'Spiel 7 - Viertelfinal'!Y111</f>
        <v>0</v>
      </c>
      <c r="P224" s="1088"/>
      <c r="Q224" s="1088"/>
      <c r="R224" s="1088"/>
      <c r="S224" s="1088">
        <f>'Spiel 9 - Final'!D100</f>
        <v>1</v>
      </c>
      <c r="T224" s="1088">
        <f>'Spiel 9 - Final'!X100</f>
        <v>8</v>
      </c>
      <c r="U224" s="1088">
        <f>'Spiel 9 - Final'!AD100</f>
        <v>6.5</v>
      </c>
      <c r="V224" s="1088"/>
      <c r="W224" s="1088"/>
      <c r="X224" s="1088"/>
      <c r="Y224" s="1088"/>
      <c r="Z224" s="1088"/>
      <c r="AA224" s="1088"/>
      <c r="AB224" s="1049"/>
      <c r="AC224" s="1002">
        <f>AC220/AC221</f>
        <v>3.7333333333333334</v>
      </c>
    </row>
    <row r="225" spans="1:29" hidden="1" outlineLevel="1">
      <c r="A225" s="1003" t="s">
        <v>8</v>
      </c>
      <c r="B225" s="1053">
        <f>'Gruppe A'!E107</f>
        <v>8</v>
      </c>
      <c r="C225" s="1091">
        <f>'Gruppe A'!BL19</f>
        <v>6</v>
      </c>
      <c r="D225" s="1055">
        <f>'Gruppe A'!BL129</f>
        <v>6.5</v>
      </c>
      <c r="E225" s="1058">
        <f>'Gruppe A'!BR107</f>
        <v>8</v>
      </c>
      <c r="F225" s="1091">
        <f>'Gruppe A'!R107</f>
        <v>4</v>
      </c>
      <c r="G225" s="1057">
        <f>'Gruppe A'!BL40</f>
        <v>5</v>
      </c>
      <c r="H225" s="1055">
        <f>'Gruppe A'!BL153</f>
        <v>3</v>
      </c>
      <c r="I225" s="1056">
        <f>'Gruppe A'!CE107</f>
        <v>3</v>
      </c>
      <c r="J225" s="1053">
        <f>'Gruppe A'!AR107</f>
        <v>10</v>
      </c>
      <c r="K225" s="1054">
        <f>'Gruppe A'!BL84</f>
        <v>8</v>
      </c>
      <c r="L225" s="1055">
        <f>'Gruppe A'!BL65</f>
        <v>2.3333333333333335</v>
      </c>
      <c r="M225" s="1058">
        <f>'Gruppe A'!AE107</f>
        <v>5</v>
      </c>
      <c r="N225" s="1091">
        <f>'Spiel 7 - Viertelfinal'!D112</f>
        <v>5</v>
      </c>
      <c r="O225" s="1091">
        <f>'Spiel 7 - Viertelfinal'!Y112</f>
        <v>0</v>
      </c>
      <c r="P225" s="1091"/>
      <c r="Q225" s="1091"/>
      <c r="R225" s="1091"/>
      <c r="S225" s="1091">
        <f>'Spiel 9 - Final'!D101</f>
        <v>2</v>
      </c>
      <c r="T225" s="1091">
        <f>'Spiel 9 - Final'!X101</f>
        <v>8</v>
      </c>
      <c r="U225" s="1091">
        <f>'Spiel 9 - Final'!AD101</f>
        <v>6.5</v>
      </c>
      <c r="V225" s="1091"/>
      <c r="W225" s="1091"/>
      <c r="X225" s="1091"/>
      <c r="Y225" s="1091"/>
      <c r="Z225" s="1091"/>
      <c r="AA225" s="1091"/>
      <c r="AB225" s="1057"/>
      <c r="AC225" s="1007">
        <f>AC220/(AC221-AC222)</f>
        <v>5.333333333333333</v>
      </c>
    </row>
    <row r="226" spans="1:29" ht="3" hidden="1" customHeight="1" outlineLevel="1">
      <c r="M226" s="1129"/>
    </row>
    <row r="227" spans="1:29" hidden="1" outlineLevel="1">
      <c r="A227" s="1178" t="s">
        <v>116</v>
      </c>
      <c r="B227" s="1147"/>
      <c r="C227" s="1146"/>
      <c r="D227" s="1147"/>
      <c r="E227" s="1149"/>
      <c r="F227" s="1146"/>
      <c r="G227" s="1149"/>
      <c r="H227" s="1147"/>
      <c r="I227" s="1149"/>
      <c r="J227" s="1147"/>
      <c r="K227" s="1149"/>
      <c r="L227" s="1147"/>
      <c r="M227" s="1149"/>
      <c r="N227" s="1022"/>
      <c r="O227" s="1022"/>
      <c r="P227" s="1022"/>
      <c r="Q227" s="1022"/>
      <c r="R227" s="1022"/>
      <c r="S227" s="1022"/>
      <c r="T227" s="1022"/>
      <c r="U227" s="1022"/>
      <c r="V227" s="1022"/>
      <c r="W227" s="1022"/>
      <c r="X227" s="1022"/>
      <c r="Y227" s="1022"/>
      <c r="Z227" s="1022"/>
      <c r="AA227" s="1022"/>
      <c r="AB227" s="1023"/>
      <c r="AC227" s="1178"/>
    </row>
    <row r="228" spans="1:29" hidden="1" outlineLevel="1">
      <c r="A228" s="971" t="s">
        <v>3</v>
      </c>
      <c r="B228" s="1027">
        <f>'Gruppe A'!F102</f>
        <v>11</v>
      </c>
      <c r="C228" s="113">
        <f>'Gruppe A'!BM14</f>
        <v>10</v>
      </c>
      <c r="D228" s="1028">
        <f>'Gruppe A'!BM124</f>
        <v>6</v>
      </c>
      <c r="E228" s="1029">
        <f>'Gruppe A'!BS102</f>
        <v>4</v>
      </c>
      <c r="F228" s="113">
        <f>'Gruppe A'!S102</f>
        <v>2</v>
      </c>
      <c r="G228" s="1031">
        <f>'Gruppe A'!BM35</f>
        <v>11</v>
      </c>
      <c r="H228" s="1027">
        <f>'Gruppe A'!BM148</f>
        <v>17</v>
      </c>
      <c r="I228" s="1029">
        <f>'Gruppe A'!CF102</f>
        <v>5</v>
      </c>
      <c r="J228" s="1028">
        <f>'Gruppe A'!AS102</f>
        <v>3</v>
      </c>
      <c r="K228" s="1079">
        <f>'Gruppe A'!BM79</f>
        <v>12</v>
      </c>
      <c r="L228" s="1223">
        <f>'Gruppe A'!BM60</f>
        <v>-12</v>
      </c>
      <c r="M228" s="1031">
        <f>'Gruppe A'!AF102</f>
        <v>7</v>
      </c>
      <c r="N228" s="1079">
        <f>'Spiel 7 - Viertelfinal'!E107</f>
        <v>10</v>
      </c>
      <c r="O228" s="1079"/>
      <c r="P228" s="1079"/>
      <c r="Q228" s="1079"/>
      <c r="R228" s="1079"/>
      <c r="S228" s="1079">
        <f>'Spiel 9 - Final'!E96</f>
        <v>10</v>
      </c>
      <c r="T228" s="1079">
        <f>'Spiel 9 - Final'!Y96</f>
        <v>12</v>
      </c>
      <c r="U228" s="1079">
        <f>'Spiel 9 - Final'!AE96</f>
        <v>7</v>
      </c>
      <c r="V228" s="1079"/>
      <c r="W228" s="1079"/>
      <c r="X228" s="1079"/>
      <c r="Y228" s="1079"/>
      <c r="Z228" s="1079"/>
      <c r="AA228" s="1079"/>
      <c r="AB228" s="1030"/>
      <c r="AC228" s="979">
        <f>SUM(B228:AB228)</f>
        <v>115</v>
      </c>
    </row>
    <row r="229" spans="1:29" hidden="1" outlineLevel="1">
      <c r="A229" s="971" t="s">
        <v>4</v>
      </c>
      <c r="B229" s="1028">
        <f>'Gruppe A'!F103</f>
        <v>2</v>
      </c>
      <c r="C229" s="1079">
        <f>'Gruppe A'!BM15</f>
        <v>1</v>
      </c>
      <c r="D229" s="1028">
        <f>'Gruppe A'!BM125</f>
        <v>2</v>
      </c>
      <c r="E229" s="1031">
        <f>'Gruppe A'!BS103</f>
        <v>2</v>
      </c>
      <c r="F229" s="1079">
        <f>'Gruppe A'!S103</f>
        <v>2</v>
      </c>
      <c r="G229" s="1030">
        <f>'Gruppe A'!BM36</f>
        <v>1</v>
      </c>
      <c r="H229" s="1028">
        <f>'Gruppe A'!BM149</f>
        <v>2</v>
      </c>
      <c r="I229" s="1029">
        <f>'Gruppe A'!CF103</f>
        <v>2</v>
      </c>
      <c r="J229" s="1027">
        <f>'Gruppe A'!AS103</f>
        <v>2</v>
      </c>
      <c r="K229" s="113">
        <f>'Gruppe A'!BM80</f>
        <v>1</v>
      </c>
      <c r="L229" s="1028">
        <f>'Gruppe A'!BM61</f>
        <v>3</v>
      </c>
      <c r="M229" s="1031">
        <f>'Gruppe A'!AF103</f>
        <v>2</v>
      </c>
      <c r="N229" s="1079">
        <f>'Spiel 7 - Viertelfinal'!E108</f>
        <v>1</v>
      </c>
      <c r="O229" s="1079"/>
      <c r="P229" s="1079"/>
      <c r="Q229" s="1079"/>
      <c r="R229" s="1079"/>
      <c r="S229" s="1079">
        <f>'Spiel 9 - Final'!E97</f>
        <v>2</v>
      </c>
      <c r="T229" s="1079">
        <f>'Spiel 9 - Final'!Y97</f>
        <v>1</v>
      </c>
      <c r="U229" s="1079">
        <f>'Spiel 9 - Final'!AE97</f>
        <v>2</v>
      </c>
      <c r="V229" s="1079"/>
      <c r="W229" s="1079"/>
      <c r="X229" s="1079"/>
      <c r="Y229" s="1079"/>
      <c r="Z229" s="1079"/>
      <c r="AA229" s="1079"/>
      <c r="AB229" s="1030"/>
      <c r="AC229" s="985">
        <f>SUM(B229:AB229)</f>
        <v>28</v>
      </c>
    </row>
    <row r="230" spans="1:29" hidden="1" outlineLevel="1">
      <c r="A230" s="971" t="s">
        <v>6</v>
      </c>
      <c r="B230" s="972">
        <f>'Gruppe A'!F104</f>
        <v>0</v>
      </c>
      <c r="C230" s="973">
        <f>'Gruppe A'!BM16</f>
        <v>0</v>
      </c>
      <c r="D230" s="972">
        <f>'Gruppe A'!BM126</f>
        <v>0</v>
      </c>
      <c r="E230" s="973">
        <f>'Gruppe A'!BS104</f>
        <v>0</v>
      </c>
      <c r="F230" s="1028">
        <f>'Gruppe A'!S104</f>
        <v>1</v>
      </c>
      <c r="G230" s="973">
        <f>'Gruppe A'!BM37</f>
        <v>0</v>
      </c>
      <c r="H230" s="972">
        <f>'Gruppe A'!BM150</f>
        <v>0</v>
      </c>
      <c r="I230" s="115">
        <f>'Gruppe A'!CF104</f>
        <v>1</v>
      </c>
      <c r="J230" s="1028">
        <f>'Gruppe A'!AS104</f>
        <v>1</v>
      </c>
      <c r="K230" s="973">
        <f>'Gruppe A'!BM81</f>
        <v>0</v>
      </c>
      <c r="L230" s="1028">
        <f>'Gruppe A'!BM62</f>
        <v>1</v>
      </c>
      <c r="M230" s="1030">
        <f>'Gruppe A'!AF104</f>
        <v>1</v>
      </c>
      <c r="N230" s="973">
        <f>'Spiel 7 - Viertelfinal'!E109</f>
        <v>0</v>
      </c>
      <c r="O230" s="1079"/>
      <c r="P230" s="1079"/>
      <c r="Q230" s="1079"/>
      <c r="R230" s="1079"/>
      <c r="S230" s="973">
        <f>'Spiel 9 - Final'!E98</f>
        <v>0</v>
      </c>
      <c r="T230" s="973">
        <f>'Spiel 9 - Final'!Y98</f>
        <v>0</v>
      </c>
      <c r="U230" s="973">
        <f>'Spiel 9 - Final'!AE98</f>
        <v>0</v>
      </c>
      <c r="V230" s="1079"/>
      <c r="W230" s="1079"/>
      <c r="X230" s="1079"/>
      <c r="Y230" s="1079"/>
      <c r="Z230" s="1079"/>
      <c r="AA230" s="1079"/>
      <c r="AB230" s="1030"/>
      <c r="AC230" s="987">
        <f>SUM(B230:AB230)</f>
        <v>5</v>
      </c>
    </row>
    <row r="231" spans="1:29" hidden="1" outlineLevel="1">
      <c r="A231" s="971" t="s">
        <v>12</v>
      </c>
      <c r="B231" s="1043">
        <f>'Gruppe A'!F105</f>
        <v>0</v>
      </c>
      <c r="C231" s="989">
        <f>'Gruppe A'!BM17</f>
        <v>0</v>
      </c>
      <c r="D231" s="1043">
        <f>'Gruppe A'!BM127</f>
        <v>0</v>
      </c>
      <c r="E231" s="989">
        <f>'Gruppe A'!BS105</f>
        <v>0</v>
      </c>
      <c r="F231" s="1039">
        <f>'Gruppe A'!S105</f>
        <v>0.5</v>
      </c>
      <c r="G231" s="989">
        <f>'Gruppe A'!BM38</f>
        <v>0</v>
      </c>
      <c r="H231" s="1043">
        <f>'Gruppe A'!BM151</f>
        <v>0</v>
      </c>
      <c r="I231" s="1082">
        <f>'Gruppe A'!CF105</f>
        <v>0.5</v>
      </c>
      <c r="J231" s="1039">
        <f>'Gruppe A'!AS105</f>
        <v>0.5</v>
      </c>
      <c r="K231" s="989">
        <f>'Gruppe A'!BM82</f>
        <v>0</v>
      </c>
      <c r="L231" s="1039">
        <f>'Gruppe A'!BM63</f>
        <v>0.33333333333333331</v>
      </c>
      <c r="M231" s="1086">
        <f>'Gruppe A'!AF105</f>
        <v>0.5</v>
      </c>
      <c r="N231" s="989">
        <f>'Spiel 7 - Viertelfinal'!E110</f>
        <v>0</v>
      </c>
      <c r="O231" s="1084"/>
      <c r="P231" s="1084"/>
      <c r="Q231" s="1084"/>
      <c r="R231" s="1084"/>
      <c r="S231" s="989">
        <f>'Spiel 9 - Final'!E99</f>
        <v>0</v>
      </c>
      <c r="T231" s="989">
        <f>'Spiel 9 - Final'!Y99</f>
        <v>0</v>
      </c>
      <c r="U231" s="989">
        <f>'Spiel 9 - Final'!AE99</f>
        <v>0</v>
      </c>
      <c r="V231" s="1084"/>
      <c r="W231" s="1084"/>
      <c r="X231" s="1084"/>
      <c r="Y231" s="1084"/>
      <c r="Z231" s="1084"/>
      <c r="AA231" s="1084"/>
      <c r="AB231" s="1086"/>
      <c r="AC231" s="996">
        <f>AC230/AC229</f>
        <v>0.17857142857142858</v>
      </c>
    </row>
    <row r="232" spans="1:29" hidden="1" outlineLevel="1">
      <c r="A232" s="971" t="s">
        <v>5</v>
      </c>
      <c r="B232" s="1045">
        <f>'Gruppe A'!F106</f>
        <v>5.5</v>
      </c>
      <c r="C232" s="1088">
        <f>'Gruppe A'!BM18</f>
        <v>10</v>
      </c>
      <c r="D232" s="1047">
        <f>'Gruppe A'!BM128</f>
        <v>3</v>
      </c>
      <c r="E232" s="1050">
        <f>'Gruppe A'!BS106</f>
        <v>2</v>
      </c>
      <c r="F232" s="1124">
        <f>'Gruppe A'!S106</f>
        <v>1</v>
      </c>
      <c r="G232" s="1049">
        <f>'Gruppe A'!BM39</f>
        <v>11</v>
      </c>
      <c r="H232" s="1047">
        <f>'Gruppe A'!BM152</f>
        <v>8.5</v>
      </c>
      <c r="I232" s="1048">
        <f>'Gruppe A'!CF106</f>
        <v>2.5</v>
      </c>
      <c r="J232" s="1045">
        <f>'Gruppe A'!AS106</f>
        <v>1.5</v>
      </c>
      <c r="K232" s="1046">
        <f>'Gruppe A'!BM83</f>
        <v>12</v>
      </c>
      <c r="L232" s="1047">
        <f>'Gruppe A'!BM64</f>
        <v>-4</v>
      </c>
      <c r="M232" s="1050">
        <f>'Gruppe A'!AF106</f>
        <v>3.5</v>
      </c>
      <c r="N232" s="1088">
        <f>'Spiel 7 - Viertelfinal'!E111</f>
        <v>10</v>
      </c>
      <c r="O232" s="1088"/>
      <c r="P232" s="1088"/>
      <c r="Q232" s="1088"/>
      <c r="R232" s="1088"/>
      <c r="S232" s="1088">
        <f>'Spiel 9 - Final'!E100</f>
        <v>5</v>
      </c>
      <c r="T232" s="1088">
        <f>'Spiel 9 - Final'!Y100</f>
        <v>12</v>
      </c>
      <c r="U232" s="1088">
        <f>'Spiel 9 - Final'!AE100</f>
        <v>3.5</v>
      </c>
      <c r="V232" s="1088"/>
      <c r="W232" s="1088"/>
      <c r="X232" s="1088"/>
      <c r="Y232" s="1088"/>
      <c r="Z232" s="1088"/>
      <c r="AA232" s="1088"/>
      <c r="AB232" s="1049"/>
      <c r="AC232" s="1002">
        <f>AC228/AC229</f>
        <v>4.1071428571428568</v>
      </c>
    </row>
    <row r="233" spans="1:29" hidden="1" outlineLevel="1">
      <c r="A233" s="1003" t="s">
        <v>8</v>
      </c>
      <c r="B233" s="1053">
        <f>'Gruppe A'!F107</f>
        <v>5.5</v>
      </c>
      <c r="C233" s="1091">
        <f>'Gruppe A'!BM19</f>
        <v>10</v>
      </c>
      <c r="D233" s="1055">
        <f>'Gruppe A'!BM129</f>
        <v>3</v>
      </c>
      <c r="E233" s="1058">
        <f>'Gruppe A'!BS107</f>
        <v>2</v>
      </c>
      <c r="F233" s="1091">
        <f>'Gruppe A'!S107</f>
        <v>2</v>
      </c>
      <c r="G233" s="1057">
        <f>'Gruppe A'!BM40</f>
        <v>11</v>
      </c>
      <c r="H233" s="1055">
        <f>'Gruppe A'!BM153</f>
        <v>8.5</v>
      </c>
      <c r="I233" s="1056">
        <f>'Gruppe A'!CF107</f>
        <v>5</v>
      </c>
      <c r="J233" s="1053">
        <f>'Gruppe A'!AS107</f>
        <v>3</v>
      </c>
      <c r="K233" s="1054">
        <f>'Gruppe A'!BM84</f>
        <v>12</v>
      </c>
      <c r="L233" s="1055">
        <f>'Gruppe A'!BM65</f>
        <v>0</v>
      </c>
      <c r="M233" s="1058">
        <f>'Gruppe A'!AF107</f>
        <v>7</v>
      </c>
      <c r="N233" s="1091">
        <f>'Spiel 7 - Viertelfinal'!E112</f>
        <v>10</v>
      </c>
      <c r="O233" s="1091"/>
      <c r="P233" s="1091"/>
      <c r="Q233" s="1091"/>
      <c r="R233" s="1091"/>
      <c r="S233" s="1091">
        <f>'Spiel 9 - Final'!E101</f>
        <v>5</v>
      </c>
      <c r="T233" s="1091">
        <f>'Spiel 9 - Final'!Y101</f>
        <v>12</v>
      </c>
      <c r="U233" s="1091">
        <f>'Spiel 9 - Final'!AE101</f>
        <v>3.5</v>
      </c>
      <c r="V233" s="1091"/>
      <c r="W233" s="1091"/>
      <c r="X233" s="1091"/>
      <c r="Y233" s="1091"/>
      <c r="Z233" s="1091"/>
      <c r="AA233" s="1091"/>
      <c r="AB233" s="1057"/>
      <c r="AC233" s="1007">
        <f>AC228/(AC229-AC230)</f>
        <v>5</v>
      </c>
    </row>
    <row r="234" spans="1:29" ht="3" hidden="1" customHeight="1" outlineLevel="1">
      <c r="M234" s="1129"/>
    </row>
    <row r="235" spans="1:29" collapsed="1">
      <c r="A235" s="1224" t="s">
        <v>144</v>
      </c>
      <c r="B235" s="1225"/>
      <c r="C235" s="1226"/>
      <c r="D235" s="1226"/>
      <c r="E235" s="1226"/>
      <c r="F235" s="1226"/>
      <c r="G235" s="1226"/>
      <c r="H235" s="1226"/>
      <c r="I235" s="1226"/>
      <c r="J235" s="1226"/>
      <c r="K235" s="1226"/>
      <c r="L235" s="1226"/>
      <c r="M235" s="1226"/>
      <c r="N235" s="1226"/>
      <c r="O235" s="1226"/>
      <c r="P235" s="1226"/>
      <c r="Q235" s="1226"/>
      <c r="R235" s="1226"/>
      <c r="S235" s="1226"/>
      <c r="T235" s="1226"/>
      <c r="U235" s="1226"/>
      <c r="V235" s="1226"/>
      <c r="W235" s="1226"/>
      <c r="X235" s="1226"/>
      <c r="Y235" s="1226"/>
      <c r="Z235" s="1226"/>
      <c r="AA235" s="1226"/>
      <c r="AB235" s="1227"/>
      <c r="AC235" s="1224"/>
    </row>
    <row r="236" spans="1:29">
      <c r="A236" s="971" t="s">
        <v>3</v>
      </c>
      <c r="B236" s="982">
        <f>B244+B252+B260+B268+B276</f>
        <v>26</v>
      </c>
      <c r="C236" s="1105">
        <f t="shared" ref="C236:K236" si="51">C244+C252+C260+C268+C276</f>
        <v>36</v>
      </c>
      <c r="D236" s="972">
        <f t="shared" si="51"/>
        <v>50</v>
      </c>
      <c r="E236" s="1104">
        <f t="shared" si="51"/>
        <v>40</v>
      </c>
      <c r="F236" s="1105">
        <f t="shared" si="51"/>
        <v>29</v>
      </c>
      <c r="G236" s="1228">
        <f t="shared" si="51"/>
        <v>0</v>
      </c>
      <c r="H236" s="972">
        <f t="shared" si="51"/>
        <v>50</v>
      </c>
      <c r="I236" s="978">
        <f t="shared" si="51"/>
        <v>50</v>
      </c>
      <c r="J236" s="972">
        <f t="shared" si="51"/>
        <v>50</v>
      </c>
      <c r="K236" s="973">
        <f t="shared" si="51"/>
        <v>50</v>
      </c>
      <c r="L236" s="982"/>
      <c r="M236" s="983"/>
      <c r="N236" s="981">
        <f t="shared" ref="N236" si="52">N244+N252+N260+N268+N276</f>
        <v>42</v>
      </c>
      <c r="O236" s="981">
        <f t="shared" ref="O236:P236" si="53">O244+O252+O260+O268+O276</f>
        <v>41</v>
      </c>
      <c r="P236" s="981">
        <f t="shared" si="53"/>
        <v>31</v>
      </c>
      <c r="Q236" s="981"/>
      <c r="R236" s="981"/>
      <c r="S236" s="972">
        <f t="shared" ref="S236" si="54">S244+S252+S260+S268+S276</f>
        <v>50</v>
      </c>
      <c r="T236" s="981"/>
      <c r="U236" s="981"/>
      <c r="V236" s="981"/>
      <c r="W236" s="983"/>
      <c r="X236" s="981">
        <f t="shared" ref="X236:Z236" si="55">X244+X252+X260+X268+X276</f>
        <v>48</v>
      </c>
      <c r="Y236" s="973">
        <f t="shared" si="55"/>
        <v>50</v>
      </c>
      <c r="Z236" s="973">
        <f t="shared" si="55"/>
        <v>50</v>
      </c>
      <c r="AA236" s="981"/>
      <c r="AB236" s="984"/>
      <c r="AC236" s="979">
        <f>SUM(B236:AB236)</f>
        <v>693</v>
      </c>
    </row>
    <row r="237" spans="1:29">
      <c r="A237" s="971" t="s">
        <v>4</v>
      </c>
      <c r="B237" s="980">
        <f t="shared" ref="B237:K237" si="56">B245+B253+B261+B269+B277</f>
        <v>9</v>
      </c>
      <c r="C237" s="981">
        <f t="shared" si="56"/>
        <v>9</v>
      </c>
      <c r="D237" s="980">
        <f t="shared" si="56"/>
        <v>20</v>
      </c>
      <c r="E237" s="983">
        <f t="shared" si="56"/>
        <v>8</v>
      </c>
      <c r="F237" s="981">
        <f t="shared" si="56"/>
        <v>6</v>
      </c>
      <c r="G237" s="1229">
        <f t="shared" si="56"/>
        <v>7</v>
      </c>
      <c r="H237" s="980">
        <f t="shared" si="56"/>
        <v>7</v>
      </c>
      <c r="I237" s="1104">
        <f t="shared" si="56"/>
        <v>9</v>
      </c>
      <c r="J237" s="982">
        <f t="shared" si="56"/>
        <v>9</v>
      </c>
      <c r="K237" s="1105">
        <f t="shared" si="56"/>
        <v>12</v>
      </c>
      <c r="L237" s="980"/>
      <c r="M237" s="983"/>
      <c r="N237" s="981">
        <f t="shared" ref="N237" si="57">N245+N253+N261+N269+N277</f>
        <v>8</v>
      </c>
      <c r="O237" s="981">
        <f t="shared" ref="O237:P237" si="58">O245+O253+O261+O269+O277</f>
        <v>11</v>
      </c>
      <c r="P237" s="981">
        <f t="shared" si="58"/>
        <v>7</v>
      </c>
      <c r="Q237" s="981"/>
      <c r="R237" s="981"/>
      <c r="S237" s="982">
        <f t="shared" ref="S237" si="59">S245+S253+S261+S269+S277</f>
        <v>9</v>
      </c>
      <c r="T237" s="981"/>
      <c r="U237" s="981"/>
      <c r="V237" s="981"/>
      <c r="W237" s="983"/>
      <c r="X237" s="981">
        <f t="shared" ref="X237:Z237" si="60">X245+X253+X261+X269+X277</f>
        <v>21</v>
      </c>
      <c r="Y237" s="981">
        <f t="shared" si="60"/>
        <v>8</v>
      </c>
      <c r="Z237" s="981">
        <f t="shared" si="60"/>
        <v>10</v>
      </c>
      <c r="AA237" s="981"/>
      <c r="AB237" s="984"/>
      <c r="AC237" s="985">
        <f>SUM(B237:AB237)</f>
        <v>170</v>
      </c>
    </row>
    <row r="238" spans="1:29">
      <c r="A238" s="971" t="s">
        <v>6</v>
      </c>
      <c r="B238" s="980">
        <f t="shared" ref="B238:K238" si="61">B246+B254+B262+B270+B278</f>
        <v>4</v>
      </c>
      <c r="C238" s="986">
        <f t="shared" si="61"/>
        <v>3</v>
      </c>
      <c r="D238" s="980">
        <f t="shared" si="61"/>
        <v>1</v>
      </c>
      <c r="E238" s="986">
        <f t="shared" si="61"/>
        <v>1</v>
      </c>
      <c r="F238" s="980">
        <f t="shared" si="61"/>
        <v>2</v>
      </c>
      <c r="G238" s="1230">
        <f t="shared" si="61"/>
        <v>3</v>
      </c>
      <c r="H238" s="972">
        <f t="shared" si="61"/>
        <v>0</v>
      </c>
      <c r="I238" s="986">
        <f t="shared" si="61"/>
        <v>1</v>
      </c>
      <c r="J238" s="980">
        <f t="shared" si="61"/>
        <v>2</v>
      </c>
      <c r="K238" s="986">
        <f t="shared" si="61"/>
        <v>4</v>
      </c>
      <c r="L238" s="982"/>
      <c r="M238" s="1231"/>
      <c r="N238" s="1105">
        <f t="shared" ref="N238" si="62">N246+N254+N262+N270+N278</f>
        <v>2</v>
      </c>
      <c r="O238" s="1105">
        <f t="shared" ref="O238:P238" si="63">O246+O254+O262+O270+O278</f>
        <v>4</v>
      </c>
      <c r="P238" s="1105">
        <f t="shared" si="63"/>
        <v>1</v>
      </c>
      <c r="Q238" s="1105"/>
      <c r="R238" s="1105"/>
      <c r="S238" s="980">
        <f t="shared" ref="S238" si="64">S246+S254+S262+S270+S278</f>
        <v>1</v>
      </c>
      <c r="T238" s="1105"/>
      <c r="U238" s="1105"/>
      <c r="V238" s="1105"/>
      <c r="W238" s="1104"/>
      <c r="X238" s="1105">
        <f t="shared" ref="X238:Z238" si="65">X246+X254+X262+X270+X278</f>
        <v>4</v>
      </c>
      <c r="Y238" s="1105">
        <f t="shared" si="65"/>
        <v>2</v>
      </c>
      <c r="Z238" s="1105">
        <f t="shared" si="65"/>
        <v>2</v>
      </c>
      <c r="AA238" s="1232"/>
      <c r="AB238" s="984"/>
      <c r="AC238" s="987">
        <f>SUM(B238:AB238)</f>
        <v>37</v>
      </c>
    </row>
    <row r="239" spans="1:29">
      <c r="A239" s="971" t="s">
        <v>12</v>
      </c>
      <c r="B239" s="988">
        <f>B238/B237</f>
        <v>0.44444444444444442</v>
      </c>
      <c r="C239" s="990">
        <f t="shared" ref="C239:K239" si="66">C238/C237</f>
        <v>0.33333333333333331</v>
      </c>
      <c r="D239" s="988">
        <f t="shared" si="66"/>
        <v>0.05</v>
      </c>
      <c r="E239" s="990">
        <f t="shared" si="66"/>
        <v>0.125</v>
      </c>
      <c r="F239" s="988">
        <f t="shared" si="66"/>
        <v>0.33333333333333331</v>
      </c>
      <c r="G239" s="1233">
        <f t="shared" si="66"/>
        <v>0.42857142857142855</v>
      </c>
      <c r="H239" s="1043">
        <f t="shared" si="66"/>
        <v>0</v>
      </c>
      <c r="I239" s="990">
        <f t="shared" si="66"/>
        <v>0.1111111111111111</v>
      </c>
      <c r="J239" s="988">
        <f t="shared" si="66"/>
        <v>0.22222222222222221</v>
      </c>
      <c r="K239" s="990">
        <f t="shared" si="66"/>
        <v>0.33333333333333331</v>
      </c>
      <c r="L239" s="991"/>
      <c r="M239" s="1234"/>
      <c r="N239" s="992">
        <f t="shared" ref="N239" si="67">N238/N237</f>
        <v>0.25</v>
      </c>
      <c r="O239" s="992">
        <f t="shared" ref="O239:P239" si="68">O238/O237</f>
        <v>0.36363636363636365</v>
      </c>
      <c r="P239" s="992">
        <f t="shared" si="68"/>
        <v>0.14285714285714285</v>
      </c>
      <c r="Q239" s="992"/>
      <c r="R239" s="992"/>
      <c r="S239" s="993">
        <f t="shared" ref="S239" si="69">S238/S237</f>
        <v>0.1111111111111111</v>
      </c>
      <c r="T239" s="992"/>
      <c r="U239" s="992"/>
      <c r="V239" s="992"/>
      <c r="W239" s="994"/>
      <c r="X239" s="992">
        <f t="shared" ref="X239:Z239" si="70">X238/X237</f>
        <v>0.19047619047619047</v>
      </c>
      <c r="Y239" s="992">
        <f t="shared" si="70"/>
        <v>0.25</v>
      </c>
      <c r="Z239" s="992">
        <f t="shared" si="70"/>
        <v>0.2</v>
      </c>
      <c r="AA239" s="1235"/>
      <c r="AB239" s="995"/>
      <c r="AC239" s="996">
        <f>AC238/AC237</f>
        <v>0.21764705882352942</v>
      </c>
    </row>
    <row r="240" spans="1:29">
      <c r="A240" s="971" t="s">
        <v>5</v>
      </c>
      <c r="B240" s="997">
        <f t="shared" ref="B240:G241" si="71">(B248+B256+B272+B280)/4</f>
        <v>1.375</v>
      </c>
      <c r="C240" s="998">
        <f t="shared" si="71"/>
        <v>2.3333333333333335</v>
      </c>
      <c r="D240" s="999">
        <f t="shared" si="71"/>
        <v>2.5499999999999998</v>
      </c>
      <c r="E240" s="1000">
        <f t="shared" si="71"/>
        <v>3</v>
      </c>
      <c r="F240" s="1106">
        <f t="shared" si="71"/>
        <v>3.375</v>
      </c>
      <c r="G240" s="1236">
        <f t="shared" si="71"/>
        <v>-1</v>
      </c>
      <c r="H240" s="999">
        <f t="shared" ref="H240:K240" si="72">(H248+H264+H272+H280)/4</f>
        <v>5.25</v>
      </c>
      <c r="I240" s="1107">
        <f t="shared" si="72"/>
        <v>4.625</v>
      </c>
      <c r="J240" s="997">
        <f t="shared" si="72"/>
        <v>3.541666666666667</v>
      </c>
      <c r="K240" s="1108">
        <f t="shared" si="72"/>
        <v>4.166666666666667</v>
      </c>
      <c r="L240" s="999"/>
      <c r="M240" s="1000"/>
      <c r="N240" s="998">
        <f t="shared" ref="N240" si="73">(N248+N264+N272+N280)/4</f>
        <v>4.5</v>
      </c>
      <c r="O240" s="998">
        <f t="shared" ref="O240:P240" si="74">(O248+O264+O272+O280)/4</f>
        <v>3.5833333333333335</v>
      </c>
      <c r="P240" s="998">
        <f t="shared" si="74"/>
        <v>4.25</v>
      </c>
      <c r="Q240" s="998"/>
      <c r="R240" s="998"/>
      <c r="S240" s="997">
        <f t="shared" ref="S240" si="75">(S248+S264+S272+S280)/4</f>
        <v>4.916666666666667</v>
      </c>
      <c r="T240" s="998"/>
      <c r="U240" s="998"/>
      <c r="V240" s="998"/>
      <c r="W240" s="1000"/>
      <c r="X240" s="998">
        <f t="shared" ref="X240:Z240" si="76">(X248+X264+X272+X280)/4</f>
        <v>2.3916666666666666</v>
      </c>
      <c r="Y240" s="998">
        <f t="shared" si="76"/>
        <v>5.125</v>
      </c>
      <c r="Z240" s="998">
        <f t="shared" si="76"/>
        <v>4.875</v>
      </c>
      <c r="AA240" s="998"/>
      <c r="AB240" s="1001"/>
      <c r="AC240" s="1002">
        <f>AC236/AC237</f>
        <v>4.0764705882352938</v>
      </c>
    </row>
    <row r="241" spans="1:29">
      <c r="A241" s="1003" t="s">
        <v>8</v>
      </c>
      <c r="B241" s="1004">
        <f t="shared" si="71"/>
        <v>1.5</v>
      </c>
      <c r="C241" s="1005">
        <f t="shared" si="71"/>
        <v>4.25</v>
      </c>
      <c r="D241" s="1109">
        <f t="shared" si="71"/>
        <v>2.5374999999999996</v>
      </c>
      <c r="E241" s="1006">
        <f t="shared" si="71"/>
        <v>3.25</v>
      </c>
      <c r="F241" s="1005">
        <f t="shared" si="71"/>
        <v>3.375</v>
      </c>
      <c r="G241" s="1237">
        <f t="shared" si="71"/>
        <v>-2.75</v>
      </c>
      <c r="H241" s="1109">
        <f t="shared" ref="H241:K241" si="77">(H249+H265+H273+H281)/4</f>
        <v>5.25</v>
      </c>
      <c r="I241" s="1111">
        <f t="shared" si="77"/>
        <v>5.25</v>
      </c>
      <c r="J241" s="1004">
        <f t="shared" si="77"/>
        <v>5.166666666666667</v>
      </c>
      <c r="K241" s="1112">
        <f t="shared" si="77"/>
        <v>6.25</v>
      </c>
      <c r="L241" s="1109"/>
      <c r="M241" s="1006"/>
      <c r="N241" s="1005">
        <f t="shared" ref="N241" si="78">(N249+N265+N273+N281)/4</f>
        <v>5.625</v>
      </c>
      <c r="O241" s="1005">
        <f t="shared" ref="O241:P241" si="79">(O249+O265+O273+O281)/4</f>
        <v>6.166666666666667</v>
      </c>
      <c r="P241" s="1005">
        <f t="shared" si="79"/>
        <v>5</v>
      </c>
      <c r="Q241" s="1005"/>
      <c r="R241" s="1005"/>
      <c r="S241" s="1004">
        <f t="shared" ref="S241" si="80">(S249+S265+S273+S281)/4</f>
        <v>4.916666666666667</v>
      </c>
      <c r="T241" s="1005"/>
      <c r="U241" s="1005"/>
      <c r="V241" s="1005"/>
      <c r="W241" s="1006"/>
      <c r="X241" s="1005">
        <f t="shared" ref="X241:Z241" si="81">(X249+X265+X273+X281)/4</f>
        <v>3.229166666666667</v>
      </c>
      <c r="Y241" s="1005">
        <f t="shared" si="81"/>
        <v>6.125</v>
      </c>
      <c r="Z241" s="1005">
        <f t="shared" si="81"/>
        <v>5.666666666666667</v>
      </c>
      <c r="AA241" s="1005"/>
      <c r="AB241" s="1110"/>
      <c r="AC241" s="1007">
        <f>AC236/(AC237-AC238)</f>
        <v>5.2105263157894735</v>
      </c>
    </row>
    <row r="242" spans="1:29" ht="3" customHeight="1">
      <c r="M242" s="1238"/>
      <c r="N242" s="1239"/>
      <c r="O242" s="1239"/>
      <c r="P242" s="1239"/>
      <c r="Q242" s="1239"/>
      <c r="R242" s="1239"/>
      <c r="S242" s="1239"/>
      <c r="T242" s="1239"/>
      <c r="U242" s="1239"/>
      <c r="V242" s="1239"/>
      <c r="W242" s="1239"/>
      <c r="X242" s="1239"/>
      <c r="Y242" s="1239"/>
      <c r="Z242" s="1239"/>
      <c r="AA242" s="1239"/>
    </row>
    <row r="243" spans="1:29" hidden="1" outlineLevel="1">
      <c r="A243" s="1178" t="s">
        <v>53</v>
      </c>
      <c r="B243" s="1021"/>
      <c r="C243" s="1022"/>
      <c r="D243" s="1021"/>
      <c r="E243" s="1023"/>
      <c r="F243" s="1022"/>
      <c r="G243" s="1023"/>
      <c r="H243" s="1021"/>
      <c r="I243" s="1023"/>
      <c r="J243" s="1021"/>
      <c r="K243" s="1023"/>
      <c r="L243" s="1021"/>
      <c r="M243" s="1023"/>
      <c r="N243" s="1022"/>
      <c r="O243" s="1022"/>
      <c r="P243" s="1022"/>
      <c r="Q243" s="1022"/>
      <c r="R243" s="1022"/>
      <c r="S243" s="1022"/>
      <c r="T243" s="1022"/>
      <c r="U243" s="1022"/>
      <c r="V243" s="1022"/>
      <c r="W243" s="1022"/>
      <c r="X243" s="1022"/>
      <c r="Y243" s="1022"/>
      <c r="Z243" s="1022"/>
      <c r="AA243" s="1022"/>
      <c r="AB243" s="1023"/>
      <c r="AC243" s="1178"/>
    </row>
    <row r="244" spans="1:29" hidden="1" outlineLevel="1">
      <c r="A244" s="971" t="s">
        <v>3</v>
      </c>
      <c r="B244" s="1027">
        <f>'Gruppe B'!AY66</f>
        <v>0</v>
      </c>
      <c r="C244" s="113">
        <f>'Gruppe B'!AC97</f>
        <v>10</v>
      </c>
      <c r="D244" s="1028">
        <f>'Gruppe B'!C97</f>
        <v>-1</v>
      </c>
      <c r="E244" s="1029">
        <f>'Gruppe B'!AZ20</f>
        <v>5</v>
      </c>
      <c r="F244" s="113">
        <f>'Gruppe B'!AZ43</f>
        <v>6</v>
      </c>
      <c r="G244" s="1031"/>
      <c r="H244" s="1027">
        <f>'Gruppe B'!BP97</f>
        <v>13</v>
      </c>
      <c r="I244" s="1029">
        <f>'Gruppe B'!AZ148</f>
        <v>5</v>
      </c>
      <c r="J244" s="1028">
        <f>'Gruppe B'!AX121</f>
        <v>2</v>
      </c>
      <c r="K244" s="1079">
        <f>'Gruppe B'!BD97</f>
        <v>15</v>
      </c>
      <c r="L244" s="1027"/>
      <c r="M244" s="1031"/>
      <c r="N244" s="1079"/>
      <c r="O244" s="1079">
        <f>'Spiel 7 - Viertelfinal'!O69</f>
        <v>8</v>
      </c>
      <c r="P244" s="1079">
        <f>'Spiel 7 - Viertelfinal'!AJ69</f>
        <v>6</v>
      </c>
      <c r="Q244" s="1079"/>
      <c r="R244" s="1079"/>
      <c r="S244" s="1079">
        <f>'Spiel 8 - Halbfinal'!B58</f>
        <v>20</v>
      </c>
      <c r="T244" s="1079"/>
      <c r="U244" s="1079"/>
      <c r="V244" s="1079"/>
      <c r="W244" s="1079"/>
      <c r="X244" s="1079">
        <f>'Spiel 9 - Final'!B71</f>
        <v>1</v>
      </c>
      <c r="Y244" s="1079">
        <f>'Spiel 9 - Final'!Y71</f>
        <v>17</v>
      </c>
      <c r="Z244" s="1079">
        <f>'Spiel 9 - Final'!AB71</f>
        <v>13</v>
      </c>
      <c r="AA244" s="1079"/>
      <c r="AB244" s="1030"/>
      <c r="AC244" s="979">
        <f>SUM(B244:AB244)</f>
        <v>120</v>
      </c>
    </row>
    <row r="245" spans="1:29" hidden="1" outlineLevel="1">
      <c r="A245" s="971" t="s">
        <v>4</v>
      </c>
      <c r="B245" s="1028">
        <f>'Gruppe B'!AY67</f>
        <v>2</v>
      </c>
      <c r="C245" s="1079">
        <f>'Gruppe B'!AC98</f>
        <v>3</v>
      </c>
      <c r="D245" s="1028">
        <f>'Gruppe B'!C98</f>
        <v>5</v>
      </c>
      <c r="E245" s="1031">
        <f>'Gruppe B'!AZ21</f>
        <v>2</v>
      </c>
      <c r="F245" s="1079">
        <f>'Gruppe B'!AZ44</f>
        <v>1</v>
      </c>
      <c r="G245" s="1030"/>
      <c r="H245" s="1028">
        <f>'Gruppe B'!BP98</f>
        <v>2</v>
      </c>
      <c r="I245" s="1029">
        <f>'Gruppe B'!AZ149</f>
        <v>2</v>
      </c>
      <c r="J245" s="1027">
        <f>'Gruppe B'!AX122</f>
        <v>2</v>
      </c>
      <c r="K245" s="113">
        <f>'Gruppe B'!BD98</f>
        <v>3</v>
      </c>
      <c r="L245" s="1028"/>
      <c r="M245" s="1031"/>
      <c r="N245" s="1079"/>
      <c r="O245" s="1079">
        <f>'Spiel 7 - Viertelfinal'!O70</f>
        <v>3</v>
      </c>
      <c r="P245" s="1079">
        <f>'Spiel 7 - Viertelfinal'!AJ70</f>
        <v>2</v>
      </c>
      <c r="Q245" s="1079"/>
      <c r="R245" s="1079"/>
      <c r="S245" s="1079">
        <f>'Spiel 8 - Halbfinal'!B59</f>
        <v>3</v>
      </c>
      <c r="T245" s="1079"/>
      <c r="U245" s="1079"/>
      <c r="V245" s="1079"/>
      <c r="W245" s="1079"/>
      <c r="X245" s="1079">
        <f>'Spiel 9 - Final'!B72</f>
        <v>6</v>
      </c>
      <c r="Y245" s="1079">
        <f>'Spiel 9 - Final'!Y72</f>
        <v>2</v>
      </c>
      <c r="Z245" s="1079">
        <f>'Spiel 9 - Final'!AB72</f>
        <v>3</v>
      </c>
      <c r="AA245" s="1079"/>
      <c r="AB245" s="1030"/>
      <c r="AC245" s="985">
        <f>SUM(B245:AB245)</f>
        <v>41</v>
      </c>
    </row>
    <row r="246" spans="1:29" hidden="1" outlineLevel="1">
      <c r="A246" s="971" t="s">
        <v>6</v>
      </c>
      <c r="B246" s="1028">
        <f>'Gruppe B'!AY68</f>
        <v>2</v>
      </c>
      <c r="C246" s="115">
        <f>'Gruppe B'!AC99</f>
        <v>2</v>
      </c>
      <c r="D246" s="1028">
        <f>'Gruppe B'!C99</f>
        <v>1</v>
      </c>
      <c r="E246" s="973">
        <f>'Gruppe B'!AZ22</f>
        <v>0</v>
      </c>
      <c r="F246" s="972">
        <f>'Gruppe B'!AZ45</f>
        <v>0</v>
      </c>
      <c r="G246" s="113"/>
      <c r="H246" s="972">
        <f>'Gruppe B'!BP99</f>
        <v>0</v>
      </c>
      <c r="I246" s="113">
        <f>'Gruppe B'!AZ150</f>
        <v>1</v>
      </c>
      <c r="J246" s="1028">
        <f>'Gruppe B'!AX123</f>
        <v>1</v>
      </c>
      <c r="K246" s="113">
        <f>'Gruppe B'!BD99</f>
        <v>1</v>
      </c>
      <c r="L246" s="1027"/>
      <c r="M246" s="1029"/>
      <c r="N246" s="113"/>
      <c r="O246" s="113">
        <f>'Spiel 7 - Viertelfinal'!O71</f>
        <v>2</v>
      </c>
      <c r="P246" s="113">
        <f>'Spiel 7 - Viertelfinal'!AJ71</f>
        <v>1</v>
      </c>
      <c r="Q246" s="113"/>
      <c r="R246" s="113"/>
      <c r="S246" s="973">
        <f>'Spiel 8 - Halbfinal'!B60</f>
        <v>0</v>
      </c>
      <c r="T246" s="113"/>
      <c r="U246" s="113"/>
      <c r="V246" s="113"/>
      <c r="W246" s="113"/>
      <c r="X246" s="973">
        <f>'Spiel 9 - Final'!B73</f>
        <v>0</v>
      </c>
      <c r="Y246" s="973">
        <f>'Spiel 9 - Final'!Y73</f>
        <v>0</v>
      </c>
      <c r="Z246" s="113">
        <f>'Spiel 9 - Final'!AB73</f>
        <v>1</v>
      </c>
      <c r="AA246" s="1232"/>
      <c r="AB246" s="1030"/>
      <c r="AC246" s="987">
        <f>SUM(B246:AB246)</f>
        <v>12</v>
      </c>
    </row>
    <row r="247" spans="1:29" hidden="1" outlineLevel="1">
      <c r="A247" s="971" t="s">
        <v>12</v>
      </c>
      <c r="B247" s="1039">
        <f>'Gruppe B'!AY69</f>
        <v>1</v>
      </c>
      <c r="C247" s="1082">
        <f>'Gruppe B'!AC100</f>
        <v>0.66666666666666663</v>
      </c>
      <c r="D247" s="1039">
        <f>'Gruppe B'!C100</f>
        <v>0.2</v>
      </c>
      <c r="E247" s="989">
        <f>'Gruppe B'!AZ23</f>
        <v>0</v>
      </c>
      <c r="F247" s="1043">
        <f>'Gruppe B'!AZ46</f>
        <v>0</v>
      </c>
      <c r="G247" s="1084"/>
      <c r="H247" s="1043">
        <f>'Gruppe B'!BP100</f>
        <v>0</v>
      </c>
      <c r="I247" s="1084">
        <f>'Gruppe B'!AZ151</f>
        <v>0.5</v>
      </c>
      <c r="J247" s="1039">
        <f>'Gruppe B'!AX124</f>
        <v>0.5</v>
      </c>
      <c r="K247" s="1084">
        <f>'Gruppe B'!BD100</f>
        <v>0.33333333333333331</v>
      </c>
      <c r="L247" s="1240"/>
      <c r="M247" s="1085"/>
      <c r="N247" s="1084"/>
      <c r="O247" s="1084">
        <f>'Spiel 7 - Viertelfinal'!O72</f>
        <v>0.66666666666666663</v>
      </c>
      <c r="P247" s="1084">
        <f>'Spiel 7 - Viertelfinal'!AJ72</f>
        <v>0.5</v>
      </c>
      <c r="Q247" s="1084"/>
      <c r="R247" s="1084"/>
      <c r="S247" s="989">
        <f>'Spiel 8 - Halbfinal'!B61</f>
        <v>0</v>
      </c>
      <c r="T247" s="1084"/>
      <c r="U247" s="1084"/>
      <c r="V247" s="1084"/>
      <c r="W247" s="1084"/>
      <c r="X247" s="989">
        <f>'Spiel 9 - Final'!B74</f>
        <v>0</v>
      </c>
      <c r="Y247" s="989">
        <f>'Spiel 9 - Final'!Y74</f>
        <v>0</v>
      </c>
      <c r="Z247" s="1084">
        <f>'Spiel 9 - Final'!AB74</f>
        <v>0.33333333333333331</v>
      </c>
      <c r="AA247" s="1235"/>
      <c r="AB247" s="1086"/>
      <c r="AC247" s="996">
        <f>AC246/AC245</f>
        <v>0.29268292682926828</v>
      </c>
    </row>
    <row r="248" spans="1:29" hidden="1" outlineLevel="1">
      <c r="A248" s="971" t="s">
        <v>5</v>
      </c>
      <c r="B248" s="1045">
        <f>'Gruppe B'!AY70</f>
        <v>0</v>
      </c>
      <c r="C248" s="1088">
        <f>'Gruppe B'!AC101</f>
        <v>3.3333333333333335</v>
      </c>
      <c r="D248" s="1047">
        <f>'Gruppe B'!C101</f>
        <v>-0.2</v>
      </c>
      <c r="E248" s="1050">
        <f>'Gruppe B'!AZ24</f>
        <v>2.5</v>
      </c>
      <c r="F248" s="1124">
        <f>'Gruppe B'!AZ47</f>
        <v>6</v>
      </c>
      <c r="G248" s="1049"/>
      <c r="H248" s="1047">
        <f>'Gruppe B'!BP101</f>
        <v>6.5</v>
      </c>
      <c r="I248" s="1048">
        <f>'Gruppe B'!AZ152</f>
        <v>2.5</v>
      </c>
      <c r="J248" s="1045">
        <f>'Gruppe B'!AX125</f>
        <v>1</v>
      </c>
      <c r="K248" s="1046">
        <f>'Gruppe B'!BD101</f>
        <v>5</v>
      </c>
      <c r="L248" s="1047"/>
      <c r="M248" s="1050"/>
      <c r="N248" s="1088"/>
      <c r="O248" s="1088">
        <f>'Spiel 7 - Viertelfinal'!O73</f>
        <v>2.6666666666666665</v>
      </c>
      <c r="P248" s="1088">
        <f>'Spiel 7 - Viertelfinal'!AJ73</f>
        <v>3</v>
      </c>
      <c r="Q248" s="1088"/>
      <c r="R248" s="1088"/>
      <c r="S248" s="1088">
        <f>'Spiel 8 - Halbfinal'!B62</f>
        <v>6.666666666666667</v>
      </c>
      <c r="T248" s="1088"/>
      <c r="U248" s="1088"/>
      <c r="V248" s="1088"/>
      <c r="W248" s="1088"/>
      <c r="X248" s="1088">
        <f>'Spiel 9 - Final'!B75</f>
        <v>0.16666666666666666</v>
      </c>
      <c r="Y248" s="1088">
        <f>'Spiel 9 - Final'!Y75</f>
        <v>8.5</v>
      </c>
      <c r="Z248" s="1088">
        <f>'Spiel 9 - Final'!AB75</f>
        <v>4.333333333333333</v>
      </c>
      <c r="AA248" s="1088"/>
      <c r="AB248" s="1049"/>
      <c r="AC248" s="1002">
        <f>AC244/AC245</f>
        <v>2.9268292682926829</v>
      </c>
    </row>
    <row r="249" spans="1:29" hidden="1" outlineLevel="1">
      <c r="A249" s="1003" t="s">
        <v>8</v>
      </c>
      <c r="B249" s="1053">
        <f>'Gruppe B'!AY71</f>
        <v>0</v>
      </c>
      <c r="C249" s="1091">
        <f>'Gruppe B'!AC102</f>
        <v>10</v>
      </c>
      <c r="D249" s="1055">
        <f>'Gruppe B'!C102</f>
        <v>-0.25</v>
      </c>
      <c r="E249" s="1058">
        <f>'Gruppe B'!AZ25</f>
        <v>2.5</v>
      </c>
      <c r="F249" s="1091">
        <f>'Gruppe B'!AZ48</f>
        <v>6</v>
      </c>
      <c r="G249" s="1057"/>
      <c r="H249" s="1055">
        <f>'Gruppe B'!BP102</f>
        <v>6.5</v>
      </c>
      <c r="I249" s="1056">
        <f>'Gruppe B'!AZ153</f>
        <v>5</v>
      </c>
      <c r="J249" s="1053">
        <f>'Gruppe B'!AX126</f>
        <v>2</v>
      </c>
      <c r="K249" s="1054">
        <f>'Gruppe B'!BD102</f>
        <v>7.5</v>
      </c>
      <c r="L249" s="1055"/>
      <c r="M249" s="1058"/>
      <c r="N249" s="1091"/>
      <c r="O249" s="1091">
        <f>'Spiel 7 - Viertelfinal'!O74</f>
        <v>8</v>
      </c>
      <c r="P249" s="1091">
        <f>'Spiel 7 - Viertelfinal'!AJ74</f>
        <v>6</v>
      </c>
      <c r="Q249" s="1091"/>
      <c r="R249" s="1091"/>
      <c r="S249" s="1091">
        <f>'Spiel 8 - Halbfinal'!B63</f>
        <v>6.666666666666667</v>
      </c>
      <c r="T249" s="1091"/>
      <c r="U249" s="1091"/>
      <c r="V249" s="1091"/>
      <c r="W249" s="1091"/>
      <c r="X249" s="1091">
        <f>'Spiel 9 - Final'!B76</f>
        <v>0.16666666666666666</v>
      </c>
      <c r="Y249" s="1091">
        <f>'Spiel 9 - Final'!Y76</f>
        <v>8.5</v>
      </c>
      <c r="Z249" s="1091">
        <f>'Spiel 9 - Final'!AB76</f>
        <v>6.5</v>
      </c>
      <c r="AA249" s="1091"/>
      <c r="AB249" s="1057"/>
      <c r="AC249" s="1007">
        <f>AC244/(AC245-AC246)</f>
        <v>4.1379310344827589</v>
      </c>
    </row>
    <row r="250" spans="1:29" ht="3" hidden="1" customHeight="1" outlineLevel="1">
      <c r="B250" s="582"/>
      <c r="C250" s="582"/>
      <c r="D250" s="582"/>
      <c r="E250" s="582"/>
      <c r="F250" s="582"/>
      <c r="G250" s="582"/>
      <c r="H250" s="582"/>
      <c r="I250" s="582"/>
      <c r="J250" s="582"/>
      <c r="K250" s="582"/>
      <c r="L250" s="1241"/>
      <c r="M250" s="1025"/>
      <c r="N250" s="582"/>
      <c r="O250" s="582"/>
      <c r="P250" s="582"/>
      <c r="Q250" s="582"/>
      <c r="R250" s="582"/>
      <c r="S250" s="582"/>
      <c r="T250" s="582"/>
      <c r="U250" s="582"/>
      <c r="V250" s="582"/>
      <c r="W250" s="582"/>
      <c r="X250" s="582"/>
      <c r="Y250" s="582"/>
      <c r="Z250" s="582"/>
      <c r="AA250" s="1239"/>
    </row>
    <row r="251" spans="1:29" hidden="1" outlineLevel="1">
      <c r="A251" s="1178" t="s">
        <v>137</v>
      </c>
      <c r="B251" s="1242"/>
      <c r="C251" s="1243"/>
      <c r="D251" s="1021"/>
      <c r="E251" s="1023"/>
      <c r="F251" s="1022"/>
      <c r="G251" s="1023"/>
      <c r="H251" s="1021"/>
      <c r="I251" s="1023"/>
      <c r="J251" s="1021"/>
      <c r="K251" s="1023"/>
      <c r="L251" s="1021"/>
      <c r="M251" s="1023"/>
      <c r="N251" s="1022"/>
      <c r="O251" s="1022"/>
      <c r="P251" s="1022"/>
      <c r="Q251" s="1022"/>
      <c r="R251" s="1022"/>
      <c r="S251" s="1022"/>
      <c r="T251" s="1022"/>
      <c r="U251" s="1022"/>
      <c r="V251" s="1022"/>
      <c r="W251" s="1022"/>
      <c r="X251" s="1022"/>
      <c r="Y251" s="1022"/>
      <c r="Z251" s="1022"/>
      <c r="AA251" s="1022"/>
      <c r="AB251" s="1023"/>
      <c r="AC251" s="1178"/>
    </row>
    <row r="252" spans="1:29" hidden="1" outlineLevel="1">
      <c r="A252" s="971" t="s">
        <v>3</v>
      </c>
      <c r="B252" s="1027">
        <f>'Gruppe B'!AZ66</f>
        <v>5</v>
      </c>
      <c r="C252" s="113">
        <f>'Gruppe B'!AE97</f>
        <v>2</v>
      </c>
      <c r="D252" s="1028">
        <f>'Gruppe B'!D97</f>
        <v>24</v>
      </c>
      <c r="E252" s="1029">
        <f>'Gruppe B'!AW20</f>
        <v>2</v>
      </c>
      <c r="F252" s="113"/>
      <c r="G252" s="1031">
        <f>'Gruppe B'!R97</f>
        <v>-16</v>
      </c>
      <c r="H252" s="1027">
        <f>'Gruppe B'!BS97</f>
        <v>8</v>
      </c>
      <c r="I252" s="1029">
        <f>'Gruppe B'!AX148</f>
        <v>6</v>
      </c>
      <c r="J252" s="1028">
        <f>'Gruppe B'!AZ121</f>
        <v>14</v>
      </c>
      <c r="K252" s="1079"/>
      <c r="L252" s="1027"/>
      <c r="M252" s="1031"/>
      <c r="N252" s="1079">
        <f>'Spiel 7 - Viertelfinal'!L69</f>
        <v>6</v>
      </c>
      <c r="O252" s="1079">
        <f>'Spiel 7 - Viertelfinal'!P69</f>
        <v>3</v>
      </c>
      <c r="P252" s="1079"/>
      <c r="Q252" s="1079"/>
      <c r="R252" s="1079"/>
      <c r="S252" s="1079">
        <f>'Spiel 8 - Halbfinal'!D58</f>
        <v>4</v>
      </c>
      <c r="T252" s="1079">
        <f>'Spiel 8 - Halbfinal'!W58</f>
        <v>15</v>
      </c>
      <c r="U252" s="1079"/>
      <c r="V252" s="1079"/>
      <c r="W252" s="1079"/>
      <c r="X252" s="1079"/>
      <c r="Y252" s="1079">
        <f>'Spiel 9 - Final'!V71</f>
        <v>9</v>
      </c>
      <c r="Z252" s="1079"/>
      <c r="AA252" s="1079"/>
      <c r="AB252" s="1030"/>
      <c r="AC252" s="979">
        <f>SUM(B252:AB252)</f>
        <v>82</v>
      </c>
    </row>
    <row r="253" spans="1:29" hidden="1" outlineLevel="1">
      <c r="A253" s="971" t="s">
        <v>4</v>
      </c>
      <c r="B253" s="1028">
        <f>'Gruppe B'!AZ67</f>
        <v>2</v>
      </c>
      <c r="C253" s="1079">
        <f>'Gruppe B'!AE98</f>
        <v>2</v>
      </c>
      <c r="D253" s="1028">
        <f>'Gruppe B'!D98</f>
        <v>5</v>
      </c>
      <c r="E253" s="1031">
        <f>'Gruppe B'!AW21</f>
        <v>2</v>
      </c>
      <c r="F253" s="1079"/>
      <c r="G253" s="1030">
        <f>'Gruppe B'!R98</f>
        <v>2</v>
      </c>
      <c r="H253" s="1028">
        <f>'Gruppe B'!BS98</f>
        <v>1</v>
      </c>
      <c r="I253" s="1029">
        <f>'Gruppe B'!AX149</f>
        <v>2</v>
      </c>
      <c r="J253" s="1027">
        <f>'Gruppe B'!AZ122</f>
        <v>2</v>
      </c>
      <c r="K253" s="113"/>
      <c r="L253" s="1028"/>
      <c r="M253" s="1031"/>
      <c r="N253" s="1079">
        <f>'Spiel 7 - Viertelfinal'!L70</f>
        <v>2</v>
      </c>
      <c r="O253" s="1079">
        <f>'Spiel 7 - Viertelfinal'!P70</f>
        <v>3</v>
      </c>
      <c r="P253" s="1079"/>
      <c r="Q253" s="1079"/>
      <c r="R253" s="1079"/>
      <c r="S253" s="1079">
        <f>'Spiel 8 - Halbfinal'!D59</f>
        <v>2</v>
      </c>
      <c r="T253" s="1079">
        <f>'Spiel 8 - Halbfinal'!W59</f>
        <v>2</v>
      </c>
      <c r="U253" s="1079"/>
      <c r="V253" s="1079"/>
      <c r="W253" s="1079"/>
      <c r="X253" s="1079"/>
      <c r="Y253" s="1079">
        <f>'Spiel 9 - Final'!V72</f>
        <v>2</v>
      </c>
      <c r="Z253" s="1079"/>
      <c r="AA253" s="1079"/>
      <c r="AB253" s="1030"/>
      <c r="AC253" s="985">
        <f>SUM(B253:AB253)</f>
        <v>29</v>
      </c>
    </row>
    <row r="254" spans="1:29" hidden="1" outlineLevel="1">
      <c r="A254" s="971" t="s">
        <v>6</v>
      </c>
      <c r="B254" s="1028">
        <f>'Gruppe B'!AZ68</f>
        <v>1</v>
      </c>
      <c r="C254" s="115">
        <f>'Gruppe B'!AE99</f>
        <v>1</v>
      </c>
      <c r="D254" s="972">
        <f>'Gruppe B'!D99</f>
        <v>0</v>
      </c>
      <c r="E254" s="115">
        <f>'Gruppe B'!AW22</f>
        <v>1</v>
      </c>
      <c r="F254" s="1028"/>
      <c r="G254" s="973">
        <f>'Gruppe B'!R99</f>
        <v>1</v>
      </c>
      <c r="H254" s="972">
        <f>'Gruppe B'!BS99</f>
        <v>0</v>
      </c>
      <c r="I254" s="973">
        <f>'Gruppe B'!AX150</f>
        <v>0</v>
      </c>
      <c r="J254" s="972">
        <f>'Gruppe B'!AZ123</f>
        <v>0</v>
      </c>
      <c r="K254" s="113"/>
      <c r="L254" s="1027"/>
      <c r="M254" s="1029"/>
      <c r="N254" s="113">
        <f>'Spiel 7 - Viertelfinal'!L71</f>
        <v>1</v>
      </c>
      <c r="O254" s="113">
        <f>'Spiel 7 - Viertelfinal'!P71</f>
        <v>1</v>
      </c>
      <c r="P254" s="113"/>
      <c r="Q254" s="113"/>
      <c r="R254" s="113"/>
      <c r="S254" s="113">
        <f>'Spiel 8 - Halbfinal'!D60</f>
        <v>1</v>
      </c>
      <c r="T254" s="973">
        <f>'Spiel 8 - Halbfinal'!W60</f>
        <v>0</v>
      </c>
      <c r="U254" s="113"/>
      <c r="V254" s="113"/>
      <c r="W254" s="113"/>
      <c r="X254" s="113"/>
      <c r="Y254" s="113">
        <f>'Spiel 9 - Final'!V73</f>
        <v>1</v>
      </c>
      <c r="Z254" s="113"/>
      <c r="AA254" s="1232"/>
      <c r="AB254" s="1030"/>
      <c r="AC254" s="987">
        <f>SUM(B254:AB254)</f>
        <v>8</v>
      </c>
    </row>
    <row r="255" spans="1:29" hidden="1" outlineLevel="1">
      <c r="A255" s="971" t="s">
        <v>12</v>
      </c>
      <c r="B255" s="1039">
        <f>'Gruppe B'!AZ69</f>
        <v>0.5</v>
      </c>
      <c r="C255" s="1082">
        <f>'Gruppe B'!AE100</f>
        <v>0.5</v>
      </c>
      <c r="D255" s="1043">
        <f>'Gruppe B'!D100</f>
        <v>0</v>
      </c>
      <c r="E255" s="1082">
        <f>'Gruppe B'!AW23</f>
        <v>0.5</v>
      </c>
      <c r="F255" s="1039"/>
      <c r="G255" s="989">
        <f>'Gruppe B'!R100</f>
        <v>0.5</v>
      </c>
      <c r="H255" s="1043">
        <f>'Gruppe B'!BS100</f>
        <v>0</v>
      </c>
      <c r="I255" s="989">
        <f>'Gruppe B'!AX151</f>
        <v>0</v>
      </c>
      <c r="J255" s="1043">
        <f>'Gruppe B'!AZ124</f>
        <v>0</v>
      </c>
      <c r="K255" s="1084"/>
      <c r="L255" s="1240"/>
      <c r="M255" s="1085"/>
      <c r="N255" s="1084">
        <f>'Spiel 7 - Viertelfinal'!L72</f>
        <v>0.5</v>
      </c>
      <c r="O255" s="1084">
        <f>'Spiel 7 - Viertelfinal'!P72</f>
        <v>0.33333333333333331</v>
      </c>
      <c r="P255" s="1084"/>
      <c r="Q255" s="1084"/>
      <c r="R255" s="1084"/>
      <c r="S255" s="1084">
        <f>'Spiel 8 - Halbfinal'!D61</f>
        <v>0.5</v>
      </c>
      <c r="T255" s="989">
        <f>'Spiel 8 - Halbfinal'!W61</f>
        <v>0</v>
      </c>
      <c r="U255" s="1084"/>
      <c r="V255" s="1084"/>
      <c r="W255" s="1084"/>
      <c r="X255" s="1084"/>
      <c r="Y255" s="1084">
        <f>'Spiel 9 - Final'!V74</f>
        <v>0.5</v>
      </c>
      <c r="Z255" s="1084"/>
      <c r="AA255" s="1235"/>
      <c r="AB255" s="1086"/>
      <c r="AC255" s="996">
        <f>AC254/AC253</f>
        <v>0.27586206896551724</v>
      </c>
    </row>
    <row r="256" spans="1:29" hidden="1" outlineLevel="1">
      <c r="A256" s="971" t="s">
        <v>5</v>
      </c>
      <c r="B256" s="1045">
        <f>'Gruppe B'!AZ70</f>
        <v>2.5</v>
      </c>
      <c r="C256" s="1088">
        <f>'Gruppe B'!AE101</f>
        <v>1</v>
      </c>
      <c r="D256" s="1047">
        <f>'Gruppe B'!D101</f>
        <v>4.8</v>
      </c>
      <c r="E256" s="1050">
        <f>'Gruppe B'!AW24</f>
        <v>1</v>
      </c>
      <c r="F256" s="1124"/>
      <c r="G256" s="1049">
        <f>'Gruppe B'!R101</f>
        <v>-8</v>
      </c>
      <c r="H256" s="1047">
        <f>'Gruppe B'!BS101</f>
        <v>8</v>
      </c>
      <c r="I256" s="1048">
        <f>'Gruppe B'!AX152</f>
        <v>3</v>
      </c>
      <c r="J256" s="1045">
        <f>'Gruppe B'!AZ125</f>
        <v>7</v>
      </c>
      <c r="K256" s="1046"/>
      <c r="L256" s="1047"/>
      <c r="M256" s="1050"/>
      <c r="N256" s="1088">
        <f>'Spiel 7 - Viertelfinal'!L73</f>
        <v>3</v>
      </c>
      <c r="O256" s="1088">
        <f>'Spiel 7 - Viertelfinal'!P73</f>
        <v>1</v>
      </c>
      <c r="P256" s="1088"/>
      <c r="Q256" s="1088"/>
      <c r="R256" s="1088"/>
      <c r="S256" s="1088">
        <f>'Spiel 8 - Halbfinal'!D62</f>
        <v>2</v>
      </c>
      <c r="T256" s="1088">
        <f>'Spiel 8 - Halbfinal'!W62</f>
        <v>7.5</v>
      </c>
      <c r="U256" s="1088"/>
      <c r="V256" s="1088"/>
      <c r="W256" s="1088"/>
      <c r="X256" s="1088"/>
      <c r="Y256" s="1088">
        <f>'Spiel 9 - Final'!V75</f>
        <v>4.5</v>
      </c>
      <c r="Z256" s="1088"/>
      <c r="AA256" s="1088"/>
      <c r="AB256" s="1049"/>
      <c r="AC256" s="1002">
        <f>AC252/AC253</f>
        <v>2.8275862068965516</v>
      </c>
    </row>
    <row r="257" spans="1:29" hidden="1" outlineLevel="1">
      <c r="A257" s="1003" t="s">
        <v>8</v>
      </c>
      <c r="B257" s="1053">
        <f>'Gruppe B'!AZ71</f>
        <v>0</v>
      </c>
      <c r="C257" s="1091">
        <f>'Gruppe B'!AE102</f>
        <v>2</v>
      </c>
      <c r="D257" s="1055">
        <f>'Gruppe B'!D102</f>
        <v>4.8</v>
      </c>
      <c r="E257" s="1058">
        <f>'Gruppe B'!AW25</f>
        <v>2</v>
      </c>
      <c r="F257" s="1091"/>
      <c r="G257" s="1057">
        <f>'Gruppe B'!R102</f>
        <v>-16</v>
      </c>
      <c r="H257" s="1055">
        <f>'Gruppe B'!BS102</f>
        <v>8</v>
      </c>
      <c r="I257" s="1056">
        <f>'Gruppe B'!AX153</f>
        <v>3</v>
      </c>
      <c r="J257" s="1053">
        <f>'Gruppe B'!AZ126</f>
        <v>7</v>
      </c>
      <c r="K257" s="1054"/>
      <c r="L257" s="1055"/>
      <c r="M257" s="1058"/>
      <c r="N257" s="1091">
        <f>'Spiel 7 - Viertelfinal'!L74</f>
        <v>6</v>
      </c>
      <c r="O257" s="1091">
        <f>'Spiel 7 - Viertelfinal'!P74</f>
        <v>1.5</v>
      </c>
      <c r="P257" s="1091"/>
      <c r="Q257" s="1091"/>
      <c r="R257" s="1091"/>
      <c r="S257" s="1091">
        <f>'Spiel 8 - Halbfinal'!D63</f>
        <v>4</v>
      </c>
      <c r="T257" s="1091">
        <f>'Spiel 8 - Halbfinal'!W63</f>
        <v>7.5</v>
      </c>
      <c r="U257" s="1091"/>
      <c r="V257" s="1091"/>
      <c r="W257" s="1091"/>
      <c r="X257" s="1091"/>
      <c r="Y257" s="1091">
        <f>'Spiel 9 - Final'!V76</f>
        <v>9</v>
      </c>
      <c r="Z257" s="1091"/>
      <c r="AA257" s="1091"/>
      <c r="AB257" s="1057"/>
      <c r="AC257" s="1007">
        <f>AC252/(AC253-AC254)</f>
        <v>3.9047619047619047</v>
      </c>
    </row>
    <row r="258" spans="1:29" ht="3" hidden="1" customHeight="1" outlineLevel="1">
      <c r="B258" s="582"/>
      <c r="C258" s="582"/>
      <c r="D258" s="582"/>
      <c r="E258" s="582"/>
      <c r="F258" s="582"/>
      <c r="G258" s="582"/>
      <c r="H258" s="582"/>
      <c r="I258" s="582"/>
      <c r="J258" s="582"/>
      <c r="K258" s="582"/>
      <c r="L258" s="1241"/>
      <c r="M258" s="1025"/>
      <c r="N258" s="582"/>
      <c r="O258" s="582"/>
      <c r="P258" s="582"/>
      <c r="Q258" s="582"/>
      <c r="R258" s="582"/>
      <c r="S258" s="582"/>
      <c r="T258" s="582"/>
      <c r="U258" s="582"/>
      <c r="V258" s="582"/>
      <c r="W258" s="582"/>
      <c r="X258" s="582"/>
      <c r="Y258" s="582"/>
      <c r="Z258" s="582"/>
      <c r="AA258" s="1239"/>
    </row>
    <row r="259" spans="1:29" hidden="1" outlineLevel="1">
      <c r="A259" s="1178" t="s">
        <v>132</v>
      </c>
      <c r="B259" s="1021"/>
      <c r="C259" s="1022"/>
      <c r="D259" s="1021"/>
      <c r="E259" s="1023"/>
      <c r="F259" s="1022"/>
      <c r="G259" s="1023"/>
      <c r="H259" s="1021"/>
      <c r="I259" s="1023"/>
      <c r="J259" s="1021"/>
      <c r="K259" s="1023"/>
      <c r="L259" s="1021"/>
      <c r="M259" s="1023"/>
      <c r="N259" s="1022"/>
      <c r="O259" s="1022"/>
      <c r="P259" s="1022"/>
      <c r="Q259" s="1022"/>
      <c r="R259" s="1022"/>
      <c r="S259" s="1022"/>
      <c r="T259" s="1022"/>
      <c r="U259" s="1022"/>
      <c r="V259" s="1022"/>
      <c r="W259" s="1022"/>
      <c r="X259" s="1022"/>
      <c r="Y259" s="1022"/>
      <c r="Z259" s="1022"/>
      <c r="AA259" s="1022"/>
      <c r="AB259" s="1023"/>
      <c r="AC259" s="1178"/>
    </row>
    <row r="260" spans="1:29" hidden="1" outlineLevel="1">
      <c r="A260" s="971" t="s">
        <v>3</v>
      </c>
      <c r="B260" s="1027">
        <f>'Gruppe B'!AW66</f>
        <v>15</v>
      </c>
      <c r="C260" s="113">
        <f>'Gruppe B'!AF97</f>
        <v>14</v>
      </c>
      <c r="D260" s="1028">
        <f>'Gruppe B'!E97</f>
        <v>-1</v>
      </c>
      <c r="E260" s="1029">
        <f>'Gruppe B'!AX20</f>
        <v>16</v>
      </c>
      <c r="F260" s="113">
        <f>'Gruppe B'!AX43</f>
        <v>8</v>
      </c>
      <c r="G260" s="1031">
        <f>'Gruppe B'!P97</f>
        <v>11</v>
      </c>
      <c r="H260" s="1027"/>
      <c r="I260" s="1029">
        <f>'Gruppe B'!AY148</f>
        <v>18</v>
      </c>
      <c r="J260" s="1028">
        <f>'Gruppe B'!AY121</f>
        <v>11</v>
      </c>
      <c r="K260" s="1079">
        <f>'Gruppe B'!BE97</f>
        <v>9</v>
      </c>
      <c r="L260" s="1027"/>
      <c r="M260" s="1031"/>
      <c r="N260" s="1079">
        <f>'Spiel 7 - Viertelfinal'!I69</f>
        <v>9</v>
      </c>
      <c r="O260" s="1079"/>
      <c r="P260" s="1079">
        <f>'Spiel 7 - Viertelfinal'!AI69</f>
        <v>12</v>
      </c>
      <c r="Q260" s="1079"/>
      <c r="R260" s="1079"/>
      <c r="S260" s="1079">
        <f>'Spiel 8 - Halbfinal'!E58</f>
        <v>14</v>
      </c>
      <c r="T260" s="1079">
        <f>'Spiel 8 - Halbfinal'!X58</f>
        <v>8</v>
      </c>
      <c r="U260" s="1079"/>
      <c r="V260" s="1079"/>
      <c r="W260" s="1079"/>
      <c r="X260" s="1079">
        <f>'Spiel 9 - Final'!E71</f>
        <v>12</v>
      </c>
      <c r="Y260" s="1079">
        <f>'Spiel 9 - Final'!X71</f>
        <v>16</v>
      </c>
      <c r="Z260" s="1079">
        <f>'Spiel 9 - Final'!AE71</f>
        <v>15</v>
      </c>
      <c r="AA260" s="1079"/>
      <c r="AB260" s="1030"/>
      <c r="AC260" s="979">
        <f>SUM(B260:AB260)</f>
        <v>187</v>
      </c>
    </row>
    <row r="261" spans="1:29" hidden="1" outlineLevel="1">
      <c r="A261" s="971" t="s">
        <v>4</v>
      </c>
      <c r="B261" s="1028">
        <f>'Gruppe B'!AW67</f>
        <v>3</v>
      </c>
      <c r="C261" s="1079">
        <f>'Gruppe B'!AF98</f>
        <v>2</v>
      </c>
      <c r="D261" s="1028">
        <f>'Gruppe B'!E98</f>
        <v>5</v>
      </c>
      <c r="E261" s="1031">
        <f>'Gruppe B'!AX21</f>
        <v>2</v>
      </c>
      <c r="F261" s="1079">
        <f>'Gruppe B'!AX44</f>
        <v>2</v>
      </c>
      <c r="G261" s="1030">
        <f>'Gruppe B'!P98</f>
        <v>2</v>
      </c>
      <c r="H261" s="1028"/>
      <c r="I261" s="1029">
        <f>'Gruppe B'!AY149</f>
        <v>2</v>
      </c>
      <c r="J261" s="1027">
        <f>'Gruppe B'!AY122</f>
        <v>2</v>
      </c>
      <c r="K261" s="113">
        <f>'Gruppe B'!BE98</f>
        <v>3</v>
      </c>
      <c r="L261" s="1028"/>
      <c r="M261" s="1031"/>
      <c r="N261" s="1079">
        <f>'Spiel 7 - Viertelfinal'!I70</f>
        <v>2</v>
      </c>
      <c r="O261" s="1079"/>
      <c r="P261" s="1079">
        <f>'Spiel 7 - Viertelfinal'!AI70</f>
        <v>2</v>
      </c>
      <c r="Q261" s="1079"/>
      <c r="R261" s="1079"/>
      <c r="S261" s="1079">
        <f>'Spiel 8 - Halbfinal'!E59</f>
        <v>2</v>
      </c>
      <c r="T261" s="1079">
        <f>'Spiel 8 - Halbfinal'!X59</f>
        <v>2</v>
      </c>
      <c r="U261" s="1079"/>
      <c r="V261" s="1079"/>
      <c r="W261" s="1079"/>
      <c r="X261" s="1079">
        <f>'Spiel 9 - Final'!E72</f>
        <v>5</v>
      </c>
      <c r="Y261" s="1079">
        <f>'Spiel 9 - Final'!X72</f>
        <v>2</v>
      </c>
      <c r="Z261" s="1079">
        <f>'Spiel 9 - Final'!AE72</f>
        <v>2</v>
      </c>
      <c r="AA261" s="1079"/>
      <c r="AB261" s="1030"/>
      <c r="AC261" s="985">
        <f>SUM(B261:AB261)</f>
        <v>40</v>
      </c>
    </row>
    <row r="262" spans="1:29" hidden="1" outlineLevel="1">
      <c r="A262" s="971" t="s">
        <v>6</v>
      </c>
      <c r="B262" s="972">
        <f>'Gruppe B'!AW68</f>
        <v>0</v>
      </c>
      <c r="C262" s="973">
        <f>'Gruppe B'!AF99</f>
        <v>0</v>
      </c>
      <c r="D262" s="972">
        <f>'Gruppe B'!E99</f>
        <v>0</v>
      </c>
      <c r="E262" s="973">
        <f>'Gruppe B'!AX22</f>
        <v>0</v>
      </c>
      <c r="F262" s="1028">
        <f>'Gruppe B'!AX45</f>
        <v>1</v>
      </c>
      <c r="G262" s="115">
        <f>'Gruppe B'!P99</f>
        <v>1</v>
      </c>
      <c r="H262" s="1028"/>
      <c r="I262" s="973">
        <f>'Gruppe B'!AY150</f>
        <v>0</v>
      </c>
      <c r="J262" s="1028">
        <f>'Gruppe B'!AY123</f>
        <v>1</v>
      </c>
      <c r="K262" s="113">
        <f>'Gruppe B'!BE99</f>
        <v>1</v>
      </c>
      <c r="L262" s="1027"/>
      <c r="M262" s="1029"/>
      <c r="N262" s="113">
        <f>'Spiel 7 - Viertelfinal'!I71</f>
        <v>1</v>
      </c>
      <c r="O262" s="113"/>
      <c r="P262" s="973">
        <f>'Spiel 7 - Viertelfinal'!AI71</f>
        <v>0</v>
      </c>
      <c r="Q262" s="113"/>
      <c r="R262" s="113"/>
      <c r="S262" s="973">
        <f>'Spiel 8 - Halbfinal'!E60</f>
        <v>0</v>
      </c>
      <c r="T262" s="113">
        <f>'Spiel 8 - Halbfinal'!X60</f>
        <v>1</v>
      </c>
      <c r="U262" s="113"/>
      <c r="V262" s="113"/>
      <c r="W262" s="113"/>
      <c r="X262" s="113">
        <f>'Spiel 9 - Final'!E73</f>
        <v>2</v>
      </c>
      <c r="Y262" s="973">
        <f>'Spiel 9 - Final'!X73</f>
        <v>0</v>
      </c>
      <c r="Z262" s="973">
        <f>'Spiel 9 - Final'!AE73</f>
        <v>0</v>
      </c>
      <c r="AA262" s="1232"/>
      <c r="AB262" s="1030"/>
      <c r="AC262" s="987">
        <f>SUM(B262:AB262)</f>
        <v>8</v>
      </c>
    </row>
    <row r="263" spans="1:29" hidden="1" outlineLevel="1">
      <c r="A263" s="971" t="s">
        <v>12</v>
      </c>
      <c r="B263" s="1043">
        <f>'Gruppe B'!AW69</f>
        <v>0</v>
      </c>
      <c r="C263" s="989">
        <f>'Gruppe B'!AF100</f>
        <v>0</v>
      </c>
      <c r="D263" s="1043">
        <f>'Gruppe B'!E100</f>
        <v>0</v>
      </c>
      <c r="E263" s="989">
        <f>'Gruppe B'!AX23</f>
        <v>0</v>
      </c>
      <c r="F263" s="1083">
        <f>'Gruppe B'!AX46</f>
        <v>0.5</v>
      </c>
      <c r="G263" s="1082">
        <f>'Gruppe B'!P100</f>
        <v>0.5</v>
      </c>
      <c r="H263" s="1039"/>
      <c r="I263" s="989">
        <f>'Gruppe B'!AY151</f>
        <v>0</v>
      </c>
      <c r="J263" s="1039">
        <f>'Gruppe B'!AY124</f>
        <v>0.5</v>
      </c>
      <c r="K263" s="1084">
        <f>'Gruppe B'!BE100</f>
        <v>0.33333333333333331</v>
      </c>
      <c r="L263" s="1240"/>
      <c r="M263" s="1085"/>
      <c r="N263" s="1084">
        <f>'Spiel 7 - Viertelfinal'!I72</f>
        <v>0.5</v>
      </c>
      <c r="O263" s="1084"/>
      <c r="P263" s="989">
        <f>'Spiel 7 - Viertelfinal'!AI72</f>
        <v>0</v>
      </c>
      <c r="Q263" s="1084"/>
      <c r="R263" s="1084"/>
      <c r="S263" s="989">
        <f>'Spiel 8 - Halbfinal'!E61</f>
        <v>0</v>
      </c>
      <c r="T263" s="1084">
        <f>'Spiel 8 - Halbfinal'!X61</f>
        <v>0.5</v>
      </c>
      <c r="U263" s="1084"/>
      <c r="V263" s="1084"/>
      <c r="W263" s="1084"/>
      <c r="X263" s="1084">
        <f>'Spiel 9 - Final'!E74</f>
        <v>0.4</v>
      </c>
      <c r="Y263" s="989">
        <f>'Spiel 9 - Final'!X74</f>
        <v>0</v>
      </c>
      <c r="Z263" s="989">
        <f>'Spiel 9 - Final'!AE74</f>
        <v>0</v>
      </c>
      <c r="AA263" s="1235"/>
      <c r="AB263" s="1086"/>
      <c r="AC263" s="996">
        <f>AC262/AC261</f>
        <v>0.2</v>
      </c>
    </row>
    <row r="264" spans="1:29" hidden="1" outlineLevel="1">
      <c r="A264" s="971" t="s">
        <v>5</v>
      </c>
      <c r="B264" s="1045">
        <f>'Gruppe B'!AW70</f>
        <v>5</v>
      </c>
      <c r="C264" s="1088">
        <f>'Gruppe B'!AF101</f>
        <v>7</v>
      </c>
      <c r="D264" s="1047">
        <f>'Gruppe B'!E101</f>
        <v>-0.2</v>
      </c>
      <c r="E264" s="1050">
        <f>'Gruppe B'!AX24</f>
        <v>8</v>
      </c>
      <c r="F264" s="1124">
        <f>'Gruppe B'!AX47</f>
        <v>4</v>
      </c>
      <c r="G264" s="1049">
        <f>'Gruppe B'!P101</f>
        <v>5.5</v>
      </c>
      <c r="H264" s="1047"/>
      <c r="I264" s="1048">
        <f>'Gruppe B'!AY152</f>
        <v>9</v>
      </c>
      <c r="J264" s="1045">
        <f>'Gruppe B'!AY125</f>
        <v>5.5</v>
      </c>
      <c r="K264" s="1046">
        <f>'Gruppe B'!BE101</f>
        <v>3</v>
      </c>
      <c r="L264" s="1047"/>
      <c r="M264" s="1050"/>
      <c r="N264" s="1088">
        <f>'Spiel 7 - Viertelfinal'!I73</f>
        <v>4.5</v>
      </c>
      <c r="O264" s="1088"/>
      <c r="P264" s="1088">
        <f>'Spiel 7 - Viertelfinal'!AI73</f>
        <v>6</v>
      </c>
      <c r="Q264" s="1088"/>
      <c r="R264" s="1088"/>
      <c r="S264" s="1088">
        <f>'Spiel 8 - Halbfinal'!E62</f>
        <v>7</v>
      </c>
      <c r="T264" s="1088">
        <f>'Spiel 8 - Halbfinal'!X62</f>
        <v>4</v>
      </c>
      <c r="U264" s="1088"/>
      <c r="V264" s="1088"/>
      <c r="W264" s="1088"/>
      <c r="X264" s="1088">
        <f>'Spiel 9 - Final'!E75</f>
        <v>2.4</v>
      </c>
      <c r="Y264" s="1088">
        <f>'Spiel 9 - Final'!X75</f>
        <v>8</v>
      </c>
      <c r="Z264" s="1088">
        <f>'Spiel 9 - Final'!AE75</f>
        <v>7.5</v>
      </c>
      <c r="AA264" s="1088"/>
      <c r="AB264" s="1049"/>
      <c r="AC264" s="1002">
        <f>AC260/AC261</f>
        <v>4.6749999999999998</v>
      </c>
    </row>
    <row r="265" spans="1:29" hidden="1" outlineLevel="1">
      <c r="A265" s="1003" t="s">
        <v>8</v>
      </c>
      <c r="B265" s="1053">
        <f>'Gruppe B'!AW71</f>
        <v>5</v>
      </c>
      <c r="C265" s="1091">
        <f>'Gruppe B'!AF102</f>
        <v>7</v>
      </c>
      <c r="D265" s="1055">
        <f>'Gruppe B'!E102</f>
        <v>-0.2</v>
      </c>
      <c r="E265" s="1058">
        <f>'Gruppe B'!AX25</f>
        <v>8</v>
      </c>
      <c r="F265" s="1091">
        <f>'Gruppe B'!AX48</f>
        <v>8</v>
      </c>
      <c r="G265" s="1057">
        <f>'Gruppe B'!P102</f>
        <v>11</v>
      </c>
      <c r="H265" s="1055"/>
      <c r="I265" s="1056">
        <f>'Gruppe B'!AY153</f>
        <v>9</v>
      </c>
      <c r="J265" s="1053">
        <f>'Gruppe B'!AY126</f>
        <v>11</v>
      </c>
      <c r="K265" s="1054">
        <f>'Gruppe B'!BE102</f>
        <v>4.5</v>
      </c>
      <c r="L265" s="1055"/>
      <c r="M265" s="1058"/>
      <c r="N265" s="1091">
        <f>'Spiel 7 - Viertelfinal'!I74</f>
        <v>9</v>
      </c>
      <c r="O265" s="1091"/>
      <c r="P265" s="1091">
        <f>'Spiel 7 - Viertelfinal'!AI74</f>
        <v>6</v>
      </c>
      <c r="Q265" s="1091"/>
      <c r="R265" s="1091"/>
      <c r="S265" s="1091">
        <f>'Spiel 8 - Halbfinal'!E63</f>
        <v>7</v>
      </c>
      <c r="T265" s="1091">
        <f>'Spiel 8 - Halbfinal'!X63</f>
        <v>8</v>
      </c>
      <c r="U265" s="1091"/>
      <c r="V265" s="1091"/>
      <c r="W265" s="1091"/>
      <c r="X265" s="1091">
        <f>'Spiel 9 - Final'!E76</f>
        <v>4</v>
      </c>
      <c r="Y265" s="1091">
        <f>'Spiel 9 - Final'!X76</f>
        <v>8</v>
      </c>
      <c r="Z265" s="1091">
        <f>'Spiel 9 - Final'!AE76</f>
        <v>7.5</v>
      </c>
      <c r="AA265" s="1091"/>
      <c r="AB265" s="1057"/>
      <c r="AC265" s="1007">
        <f>AC260/(AC261-AC262)</f>
        <v>5.84375</v>
      </c>
    </row>
    <row r="266" spans="1:29" ht="3" hidden="1" customHeight="1" outlineLevel="1">
      <c r="B266" s="582"/>
      <c r="C266" s="582"/>
      <c r="D266" s="582"/>
      <c r="E266" s="582"/>
      <c r="F266" s="582"/>
      <c r="G266" s="582"/>
      <c r="H266" s="582"/>
      <c r="I266" s="582"/>
      <c r="J266" s="582"/>
      <c r="K266" s="582"/>
      <c r="L266" s="1241"/>
      <c r="M266" s="1025"/>
      <c r="N266" s="582"/>
      <c r="O266" s="582"/>
      <c r="P266" s="582"/>
      <c r="Q266" s="582"/>
      <c r="R266" s="582"/>
      <c r="S266" s="582"/>
      <c r="T266" s="582"/>
      <c r="U266" s="582"/>
      <c r="V266" s="582"/>
      <c r="W266" s="582"/>
      <c r="X266" s="582"/>
      <c r="Y266" s="582"/>
      <c r="Z266" s="582"/>
      <c r="AA266" s="1239"/>
    </row>
    <row r="267" spans="1:29" hidden="1" outlineLevel="1">
      <c r="A267" s="1178" t="s">
        <v>135</v>
      </c>
      <c r="B267" s="1021"/>
      <c r="C267" s="1022"/>
      <c r="D267" s="1021"/>
      <c r="E267" s="1023"/>
      <c r="F267" s="1022"/>
      <c r="G267" s="1023"/>
      <c r="H267" s="1021"/>
      <c r="I267" s="1023"/>
      <c r="J267" s="1021"/>
      <c r="K267" s="1023"/>
      <c r="L267" s="1021"/>
      <c r="M267" s="1023"/>
      <c r="N267" s="1022"/>
      <c r="O267" s="1022"/>
      <c r="P267" s="1022"/>
      <c r="Q267" s="1022"/>
      <c r="R267" s="1022"/>
      <c r="S267" s="1022"/>
      <c r="T267" s="1022"/>
      <c r="U267" s="1022"/>
      <c r="V267" s="1022"/>
      <c r="W267" s="1022"/>
      <c r="X267" s="1022"/>
      <c r="Y267" s="1022"/>
      <c r="Z267" s="1022"/>
      <c r="AA267" s="1022"/>
      <c r="AB267" s="1023"/>
      <c r="AC267" s="1178"/>
    </row>
    <row r="268" spans="1:29" hidden="1" outlineLevel="1">
      <c r="A268" s="971" t="s">
        <v>3</v>
      </c>
      <c r="B268" s="1027">
        <f>'Gruppe B'!AX66</f>
        <v>6</v>
      </c>
      <c r="C268" s="113">
        <f>'Gruppe B'!AD97</f>
        <v>10</v>
      </c>
      <c r="D268" s="1028">
        <f>'Gruppe B'!F97</f>
        <v>28</v>
      </c>
      <c r="E268" s="1029">
        <f>'Gruppe B'!AY20</f>
        <v>17</v>
      </c>
      <c r="F268" s="113">
        <f>'Gruppe B'!AW43</f>
        <v>15</v>
      </c>
      <c r="G268" s="1031">
        <f>'Gruppe B'!S97</f>
        <v>3</v>
      </c>
      <c r="H268" s="1027">
        <f>'Gruppe B'!BQ97</f>
        <v>16</v>
      </c>
      <c r="I268" s="1029"/>
      <c r="J268" s="1028">
        <f>'Gruppe B'!AW121</f>
        <v>23</v>
      </c>
      <c r="K268" s="1079">
        <f>'Gruppe B'!BC97</f>
        <v>14</v>
      </c>
      <c r="L268" s="1027"/>
      <c r="M268" s="1031"/>
      <c r="N268" s="1079">
        <f>'Spiel 7 - Viertelfinal'!J69</f>
        <v>12</v>
      </c>
      <c r="O268" s="1079">
        <f>'Spiel 7 - Viertelfinal'!Q69</f>
        <v>20</v>
      </c>
      <c r="P268" s="1079">
        <f>'Spiel 7 - Viertelfinal'!AK69</f>
        <v>10</v>
      </c>
      <c r="Q268" s="1079"/>
      <c r="R268" s="1079"/>
      <c r="S268" s="1079">
        <f>'Spiel 8 - Halbfinal'!C58</f>
        <v>12</v>
      </c>
      <c r="T268" s="1079">
        <f>'Spiel 8 - Halbfinal'!V58</f>
        <v>9</v>
      </c>
      <c r="U268" s="1079"/>
      <c r="V268" s="1079"/>
      <c r="W268" s="1079"/>
      <c r="X268" s="1079">
        <f>'Spiel 9 - Final'!D71</f>
        <v>18</v>
      </c>
      <c r="Y268" s="1079"/>
      <c r="Z268" s="1079">
        <f>'Spiel 9 - Final'!AC71</f>
        <v>20</v>
      </c>
      <c r="AA268" s="1079"/>
      <c r="AB268" s="1030"/>
      <c r="AC268" s="979">
        <f>SUM(B268:AB268)</f>
        <v>233</v>
      </c>
    </row>
    <row r="269" spans="1:29" hidden="1" outlineLevel="1">
      <c r="A269" s="971" t="s">
        <v>4</v>
      </c>
      <c r="B269" s="1028">
        <f>'Gruppe B'!AX67</f>
        <v>2</v>
      </c>
      <c r="C269" s="1079">
        <f>'Gruppe B'!AD98</f>
        <v>2</v>
      </c>
      <c r="D269" s="1028">
        <f>'Gruppe B'!F98</f>
        <v>5</v>
      </c>
      <c r="E269" s="1031">
        <f>'Gruppe B'!AY21</f>
        <v>2</v>
      </c>
      <c r="F269" s="1079">
        <f>'Gruppe B'!AW44</f>
        <v>2</v>
      </c>
      <c r="G269" s="1030">
        <f>'Gruppe B'!S98</f>
        <v>1</v>
      </c>
      <c r="H269" s="1028">
        <f>'Gruppe B'!BQ98</f>
        <v>2</v>
      </c>
      <c r="I269" s="1029"/>
      <c r="J269" s="1027">
        <f>'Gruppe B'!AW122</f>
        <v>3</v>
      </c>
      <c r="K269" s="113">
        <f>'Gruppe B'!BC98</f>
        <v>3</v>
      </c>
      <c r="L269" s="1028"/>
      <c r="M269" s="1031"/>
      <c r="N269" s="1079">
        <f>'Spiel 7 - Viertelfinal'!J70</f>
        <v>2</v>
      </c>
      <c r="O269" s="1079">
        <f>'Spiel 7 - Viertelfinal'!Q70</f>
        <v>3</v>
      </c>
      <c r="P269" s="1079">
        <f>'Spiel 7 - Viertelfinal'!AK70</f>
        <v>2</v>
      </c>
      <c r="Q269" s="1079"/>
      <c r="R269" s="1079"/>
      <c r="S269" s="1079">
        <f>'Spiel 8 - Halbfinal'!C59</f>
        <v>2</v>
      </c>
      <c r="T269" s="1079">
        <f>'Spiel 8 - Halbfinal'!V59</f>
        <v>2</v>
      </c>
      <c r="U269" s="1079"/>
      <c r="V269" s="1079"/>
      <c r="W269" s="1079"/>
      <c r="X269" s="1079">
        <f>'Spiel 9 - Final'!D72</f>
        <v>5</v>
      </c>
      <c r="Y269" s="1079"/>
      <c r="Z269" s="1079">
        <f>'Spiel 9 - Final'!AC72</f>
        <v>3</v>
      </c>
      <c r="AA269" s="1079"/>
      <c r="AB269" s="1030"/>
      <c r="AC269" s="985">
        <f>SUM(B269:AB269)</f>
        <v>41</v>
      </c>
    </row>
    <row r="270" spans="1:29" hidden="1" outlineLevel="1">
      <c r="A270" s="971" t="s">
        <v>6</v>
      </c>
      <c r="B270" s="1028">
        <f>'Gruppe B'!AX68</f>
        <v>1</v>
      </c>
      <c r="C270" s="973">
        <f>'Gruppe B'!AD99</f>
        <v>0</v>
      </c>
      <c r="D270" s="972">
        <f>'Gruppe B'!F99</f>
        <v>0</v>
      </c>
      <c r="E270" s="973">
        <f>'Gruppe B'!AY22</f>
        <v>0</v>
      </c>
      <c r="F270" s="972">
        <f>'Gruppe B'!AW45</f>
        <v>0</v>
      </c>
      <c r="G270" s="973">
        <f>'Gruppe B'!S99</f>
        <v>0</v>
      </c>
      <c r="H270" s="972">
        <f>'Gruppe B'!BQ99</f>
        <v>0</v>
      </c>
      <c r="I270" s="115"/>
      <c r="J270" s="972">
        <f>'Gruppe B'!AW123</f>
        <v>0</v>
      </c>
      <c r="K270" s="115">
        <f>'Gruppe B'!BC99</f>
        <v>1</v>
      </c>
      <c r="L270" s="1027"/>
      <c r="M270" s="1029"/>
      <c r="N270" s="973">
        <f>'Spiel 7 - Viertelfinal'!J71</f>
        <v>0</v>
      </c>
      <c r="O270" s="973">
        <f>'Spiel 7 - Viertelfinal'!Q71</f>
        <v>0</v>
      </c>
      <c r="P270" s="973">
        <f>'Spiel 7 - Viertelfinal'!AK71</f>
        <v>0</v>
      </c>
      <c r="Q270" s="113"/>
      <c r="R270" s="113"/>
      <c r="S270" s="973">
        <f>'Spiel 8 - Halbfinal'!C60</f>
        <v>0</v>
      </c>
      <c r="T270" s="973">
        <f>'Spiel 8 - Halbfinal'!V60</f>
        <v>0</v>
      </c>
      <c r="U270" s="113"/>
      <c r="V270" s="113"/>
      <c r="W270" s="113"/>
      <c r="X270" s="113">
        <f>'Spiel 9 - Final'!D73</f>
        <v>1</v>
      </c>
      <c r="Y270" s="113"/>
      <c r="Z270" s="973">
        <f>'Spiel 9 - Final'!AC73</f>
        <v>0</v>
      </c>
      <c r="AA270" s="1232"/>
      <c r="AB270" s="1030"/>
      <c r="AC270" s="987">
        <f>SUM(B270:AB270)</f>
        <v>3</v>
      </c>
    </row>
    <row r="271" spans="1:29" hidden="1" outlineLevel="1">
      <c r="A271" s="971" t="s">
        <v>12</v>
      </c>
      <c r="B271" s="1083">
        <f>'Gruppe B'!AX69</f>
        <v>0.5</v>
      </c>
      <c r="C271" s="989">
        <f>'Gruppe B'!AD100</f>
        <v>0</v>
      </c>
      <c r="D271" s="1043">
        <f>'Gruppe B'!F100</f>
        <v>0</v>
      </c>
      <c r="E271" s="989">
        <f>'Gruppe B'!AY23</f>
        <v>0</v>
      </c>
      <c r="F271" s="1043">
        <f>'Gruppe B'!AW46</f>
        <v>0</v>
      </c>
      <c r="G271" s="989">
        <f>'Gruppe B'!S100</f>
        <v>0</v>
      </c>
      <c r="H271" s="1043">
        <f>'Gruppe B'!BQ100</f>
        <v>0</v>
      </c>
      <c r="I271" s="1082"/>
      <c r="J271" s="1043">
        <f>'Gruppe B'!AW124</f>
        <v>0</v>
      </c>
      <c r="K271" s="1082">
        <f>'Gruppe B'!BC100</f>
        <v>0.33333333333333331</v>
      </c>
      <c r="L271" s="1240"/>
      <c r="M271" s="1085"/>
      <c r="N271" s="989">
        <f>'Spiel 7 - Viertelfinal'!J72</f>
        <v>0</v>
      </c>
      <c r="O271" s="989">
        <f>'Spiel 7 - Viertelfinal'!Q72</f>
        <v>0</v>
      </c>
      <c r="P271" s="989">
        <f>'Spiel 7 - Viertelfinal'!AK72</f>
        <v>0</v>
      </c>
      <c r="Q271" s="1084"/>
      <c r="R271" s="1084"/>
      <c r="S271" s="989">
        <f>'Spiel 8 - Halbfinal'!C61</f>
        <v>0</v>
      </c>
      <c r="T271" s="989">
        <f>'Spiel 8 - Halbfinal'!V61</f>
        <v>0</v>
      </c>
      <c r="U271" s="1084"/>
      <c r="V271" s="1084"/>
      <c r="W271" s="1084"/>
      <c r="X271" s="1084">
        <f>'Spiel 9 - Final'!D74</f>
        <v>0.2</v>
      </c>
      <c r="Y271" s="1084"/>
      <c r="Z271" s="989">
        <f>'Spiel 9 - Final'!AC74</f>
        <v>0</v>
      </c>
      <c r="AA271" s="1235"/>
      <c r="AB271" s="1086"/>
      <c r="AC271" s="996">
        <f>AC270/AC269</f>
        <v>7.3170731707317069E-2</v>
      </c>
    </row>
    <row r="272" spans="1:29" hidden="1" outlineLevel="1">
      <c r="A272" s="971" t="s">
        <v>5</v>
      </c>
      <c r="B272" s="1045">
        <f>'Gruppe B'!AX70</f>
        <v>3</v>
      </c>
      <c r="C272" s="1088">
        <f>'Gruppe B'!AD101</f>
        <v>5</v>
      </c>
      <c r="D272" s="1047">
        <f>'Gruppe B'!F101</f>
        <v>5.6</v>
      </c>
      <c r="E272" s="1050">
        <f>'Gruppe B'!AY24</f>
        <v>8.5</v>
      </c>
      <c r="F272" s="1124">
        <f>'Gruppe B'!AW47</f>
        <v>7.5</v>
      </c>
      <c r="G272" s="1049">
        <f>'Gruppe B'!S101</f>
        <v>3</v>
      </c>
      <c r="H272" s="1047">
        <f>'Gruppe B'!BQ101</f>
        <v>8</v>
      </c>
      <c r="I272" s="1048"/>
      <c r="J272" s="1045">
        <f>'Gruppe B'!AW125</f>
        <v>7.666666666666667</v>
      </c>
      <c r="K272" s="1046">
        <f>'Gruppe B'!BC101</f>
        <v>4.666666666666667</v>
      </c>
      <c r="L272" s="1047"/>
      <c r="M272" s="1050"/>
      <c r="N272" s="1088">
        <f>'Spiel 7 - Viertelfinal'!J73</f>
        <v>6</v>
      </c>
      <c r="O272" s="1088">
        <f>'Spiel 7 - Viertelfinal'!Q73</f>
        <v>6.666666666666667</v>
      </c>
      <c r="P272" s="1088">
        <f>'Spiel 7 - Viertelfinal'!AK73</f>
        <v>5</v>
      </c>
      <c r="Q272" s="1088"/>
      <c r="R272" s="1088"/>
      <c r="S272" s="1088">
        <f>'Spiel 8 - Halbfinal'!C62</f>
        <v>6</v>
      </c>
      <c r="T272" s="1088">
        <f>'Spiel 8 - Halbfinal'!V62</f>
        <v>4.5</v>
      </c>
      <c r="U272" s="1088"/>
      <c r="V272" s="1088"/>
      <c r="W272" s="1088"/>
      <c r="X272" s="1088">
        <f>'Spiel 9 - Final'!D75</f>
        <v>3.6</v>
      </c>
      <c r="Y272" s="1088"/>
      <c r="Z272" s="1088">
        <f>'Spiel 9 - Final'!AC75</f>
        <v>6.666666666666667</v>
      </c>
      <c r="AA272" s="1088"/>
      <c r="AB272" s="1049"/>
      <c r="AC272" s="1002">
        <f>AC268/AC269</f>
        <v>5.6829268292682924</v>
      </c>
    </row>
    <row r="273" spans="1:29" hidden="1" outlineLevel="1">
      <c r="A273" s="1003" t="s">
        <v>8</v>
      </c>
      <c r="B273" s="1053">
        <f>'Gruppe B'!AX71</f>
        <v>6</v>
      </c>
      <c r="C273" s="1091">
        <f>'Gruppe B'!AD102</f>
        <v>5</v>
      </c>
      <c r="D273" s="1055">
        <f>'Gruppe B'!F102</f>
        <v>5.6</v>
      </c>
      <c r="E273" s="1058">
        <f>'Gruppe B'!AY25</f>
        <v>8.5</v>
      </c>
      <c r="F273" s="1091">
        <f>'Gruppe B'!AW48</f>
        <v>7.5</v>
      </c>
      <c r="G273" s="1057">
        <f>'Gruppe B'!S102</f>
        <v>3</v>
      </c>
      <c r="H273" s="1055">
        <f>'Gruppe B'!BQ102</f>
        <v>8</v>
      </c>
      <c r="I273" s="1056"/>
      <c r="J273" s="1053">
        <f>'Gruppe B'!AW126</f>
        <v>7.666666666666667</v>
      </c>
      <c r="K273" s="1054">
        <f>'Gruppe B'!BC102</f>
        <v>7</v>
      </c>
      <c r="L273" s="1055"/>
      <c r="M273" s="1058"/>
      <c r="N273" s="1091">
        <f>'Spiel 7 - Viertelfinal'!J74</f>
        <v>6</v>
      </c>
      <c r="O273" s="1091">
        <f>'Spiel 7 - Viertelfinal'!Q74</f>
        <v>6.666666666666667</v>
      </c>
      <c r="P273" s="1091">
        <f>'Spiel 7 - Viertelfinal'!AK74</f>
        <v>5</v>
      </c>
      <c r="Q273" s="1091"/>
      <c r="R273" s="1091"/>
      <c r="S273" s="1091">
        <f>'Spiel 8 - Halbfinal'!C63</f>
        <v>6</v>
      </c>
      <c r="T273" s="1091">
        <f>'Spiel 8 - Halbfinal'!V63</f>
        <v>4.5</v>
      </c>
      <c r="U273" s="1091"/>
      <c r="V273" s="1091"/>
      <c r="W273" s="1091"/>
      <c r="X273" s="1091">
        <f>'Spiel 9 - Final'!D76</f>
        <v>4.5</v>
      </c>
      <c r="Y273" s="1091"/>
      <c r="Z273" s="1091">
        <f>'Spiel 9 - Final'!AC76</f>
        <v>6.666666666666667</v>
      </c>
      <c r="AA273" s="1091"/>
      <c r="AB273" s="1057"/>
      <c r="AC273" s="1007">
        <f>AC268/(AC269-AC270)</f>
        <v>6.1315789473684212</v>
      </c>
    </row>
    <row r="274" spans="1:29" ht="3" hidden="1" customHeight="1" outlineLevel="1">
      <c r="B274" s="582"/>
      <c r="C274" s="582"/>
      <c r="D274" s="582"/>
      <c r="E274" s="582"/>
      <c r="F274" s="582"/>
      <c r="G274" s="582"/>
      <c r="H274" s="582"/>
      <c r="I274" s="582"/>
      <c r="J274" s="582"/>
      <c r="K274" s="582"/>
      <c r="L274" s="1241"/>
      <c r="M274" s="1025"/>
      <c r="N274" s="582"/>
      <c r="O274" s="582"/>
      <c r="P274" s="582"/>
      <c r="Q274" s="582"/>
      <c r="R274" s="582"/>
      <c r="S274" s="582"/>
      <c r="T274" s="582"/>
      <c r="U274" s="582"/>
      <c r="V274" s="582"/>
      <c r="W274" s="582"/>
      <c r="X274" s="582"/>
      <c r="Y274" s="582"/>
      <c r="Z274" s="582"/>
      <c r="AA274" s="1239"/>
    </row>
    <row r="275" spans="1:29" hidden="1" outlineLevel="1">
      <c r="A275" s="1178" t="s">
        <v>136</v>
      </c>
      <c r="B275" s="1021"/>
      <c r="C275" s="1022"/>
      <c r="D275" s="1021"/>
      <c r="E275" s="1023"/>
      <c r="F275" s="1022"/>
      <c r="G275" s="1023"/>
      <c r="H275" s="1021"/>
      <c r="I275" s="1023"/>
      <c r="J275" s="1021"/>
      <c r="K275" s="1023"/>
      <c r="L275" s="1021"/>
      <c r="M275" s="1023"/>
      <c r="N275" s="1022"/>
      <c r="O275" s="1022"/>
      <c r="P275" s="1022"/>
      <c r="Q275" s="1022"/>
      <c r="R275" s="1022"/>
      <c r="S275" s="1022"/>
      <c r="T275" s="1022"/>
      <c r="U275" s="1022"/>
      <c r="V275" s="1022"/>
      <c r="W275" s="1022"/>
      <c r="X275" s="1022"/>
      <c r="Y275" s="1022"/>
      <c r="Z275" s="1022"/>
      <c r="AA275" s="1022"/>
      <c r="AB275" s="1023"/>
      <c r="AC275" s="1178"/>
    </row>
    <row r="276" spans="1:29" hidden="1" outlineLevel="1">
      <c r="A276" s="971" t="s">
        <v>3</v>
      </c>
      <c r="B276" s="1027"/>
      <c r="C276" s="113"/>
      <c r="D276" s="1028"/>
      <c r="E276" s="1029"/>
      <c r="F276" s="113">
        <f>'Gruppe B'!AY43</f>
        <v>0</v>
      </c>
      <c r="G276" s="1031">
        <f>'Gruppe B'!Q97</f>
        <v>2</v>
      </c>
      <c r="H276" s="1027">
        <f>'Gruppe B'!BR97</f>
        <v>13</v>
      </c>
      <c r="I276" s="1029">
        <f>'Gruppe B'!AW148</f>
        <v>21</v>
      </c>
      <c r="J276" s="1028"/>
      <c r="K276" s="1079">
        <f>'Gruppe B'!BF97</f>
        <v>12</v>
      </c>
      <c r="L276" s="1027"/>
      <c r="M276" s="1031"/>
      <c r="N276" s="1079">
        <f>'Spiel 7 - Viertelfinal'!K69</f>
        <v>15</v>
      </c>
      <c r="O276" s="1079">
        <f>'Spiel 7 - Viertelfinal'!R69</f>
        <v>10</v>
      </c>
      <c r="P276" s="1079">
        <f>'Spiel 7 - Viertelfinal'!AL69</f>
        <v>3</v>
      </c>
      <c r="Q276" s="1079"/>
      <c r="R276" s="1079"/>
      <c r="S276" s="1079"/>
      <c r="T276" s="1079">
        <f>'Spiel 8 - Halbfinal'!Y58</f>
        <v>18</v>
      </c>
      <c r="U276" s="1079"/>
      <c r="V276" s="1079"/>
      <c r="W276" s="1079"/>
      <c r="X276" s="1079">
        <f>'Spiel 9 - Final'!C71</f>
        <v>17</v>
      </c>
      <c r="Y276" s="1079">
        <f>'Spiel 9 - Final'!W71</f>
        <v>8</v>
      </c>
      <c r="Z276" s="1079">
        <f>'Spiel 9 - Final'!AD71</f>
        <v>2</v>
      </c>
      <c r="AA276" s="1079"/>
      <c r="AB276" s="1030"/>
      <c r="AC276" s="979">
        <f>SUM(B276:AB276)</f>
        <v>121</v>
      </c>
    </row>
    <row r="277" spans="1:29" hidden="1" outlineLevel="1">
      <c r="A277" s="971" t="s">
        <v>4</v>
      </c>
      <c r="B277" s="1028"/>
      <c r="C277" s="1079"/>
      <c r="D277" s="1028"/>
      <c r="E277" s="1031"/>
      <c r="F277" s="1079">
        <f>'Gruppe B'!AY44</f>
        <v>1</v>
      </c>
      <c r="G277" s="1030">
        <f>'Gruppe B'!Q98</f>
        <v>2</v>
      </c>
      <c r="H277" s="1028">
        <f>'Gruppe B'!BR98</f>
        <v>2</v>
      </c>
      <c r="I277" s="1029">
        <f>'Gruppe B'!AW149</f>
        <v>3</v>
      </c>
      <c r="J277" s="1027"/>
      <c r="K277" s="113">
        <f>'Gruppe B'!BF98</f>
        <v>3</v>
      </c>
      <c r="L277" s="1028"/>
      <c r="M277" s="1031"/>
      <c r="N277" s="1079">
        <f>'Spiel 7 - Viertelfinal'!K70</f>
        <v>2</v>
      </c>
      <c r="O277" s="1079">
        <f>'Spiel 7 - Viertelfinal'!R70</f>
        <v>2</v>
      </c>
      <c r="P277" s="1079">
        <f>'Spiel 7 - Viertelfinal'!AL70</f>
        <v>1</v>
      </c>
      <c r="Q277" s="1079"/>
      <c r="R277" s="1079"/>
      <c r="S277" s="1079"/>
      <c r="T277" s="1079">
        <f>'Spiel 8 - Halbfinal'!Y59</f>
        <v>2</v>
      </c>
      <c r="U277" s="1079"/>
      <c r="V277" s="1079"/>
      <c r="W277" s="1079"/>
      <c r="X277" s="1079">
        <f>'Spiel 9 - Final'!C72</f>
        <v>5</v>
      </c>
      <c r="Y277" s="1079">
        <f>'Spiel 9 - Final'!W72</f>
        <v>2</v>
      </c>
      <c r="Z277" s="1079">
        <f>'Spiel 9 - Final'!AD72</f>
        <v>2</v>
      </c>
      <c r="AA277" s="1079"/>
      <c r="AB277" s="1030"/>
      <c r="AC277" s="985">
        <f>SUM(B277:AB277)</f>
        <v>27</v>
      </c>
    </row>
    <row r="278" spans="1:29" hidden="1" outlineLevel="1">
      <c r="A278" s="971" t="s">
        <v>6</v>
      </c>
      <c r="B278" s="1028"/>
      <c r="C278" s="115"/>
      <c r="D278" s="1028"/>
      <c r="E278" s="115"/>
      <c r="F278" s="1028">
        <f>'Gruppe B'!AY45</f>
        <v>1</v>
      </c>
      <c r="G278" s="113">
        <f>'Gruppe B'!Q99</f>
        <v>1</v>
      </c>
      <c r="H278" s="972">
        <f>'Gruppe B'!BR99</f>
        <v>0</v>
      </c>
      <c r="I278" s="973">
        <f>'Gruppe B'!AW150</f>
        <v>0</v>
      </c>
      <c r="J278" s="1028"/>
      <c r="K278" s="115">
        <f>'Gruppe B'!BF99</f>
        <v>1</v>
      </c>
      <c r="L278" s="1027"/>
      <c r="M278" s="1029"/>
      <c r="N278" s="973">
        <f>'Spiel 7 - Viertelfinal'!K71</f>
        <v>0</v>
      </c>
      <c r="O278" s="113">
        <f>'Spiel 7 - Viertelfinal'!R71</f>
        <v>1</v>
      </c>
      <c r="P278" s="973">
        <f>'Spiel 7 - Viertelfinal'!AL71</f>
        <v>0</v>
      </c>
      <c r="Q278" s="113"/>
      <c r="R278" s="113"/>
      <c r="S278" s="113"/>
      <c r="T278" s="973">
        <f>'Spiel 8 - Halbfinal'!Y60</f>
        <v>0</v>
      </c>
      <c r="U278" s="113"/>
      <c r="V278" s="113"/>
      <c r="W278" s="113"/>
      <c r="X278" s="113">
        <f>'Spiel 9 - Final'!C73</f>
        <v>1</v>
      </c>
      <c r="Y278" s="113">
        <f>'Spiel 9 - Final'!W73</f>
        <v>1</v>
      </c>
      <c r="Z278" s="113">
        <f>'Spiel 9 - Final'!AD73</f>
        <v>1</v>
      </c>
      <c r="AA278" s="1232"/>
      <c r="AB278" s="1030"/>
      <c r="AC278" s="987">
        <f>SUM(B278:AB278)</f>
        <v>7</v>
      </c>
    </row>
    <row r="279" spans="1:29" hidden="1" outlineLevel="1">
      <c r="A279" s="971" t="s">
        <v>12</v>
      </c>
      <c r="B279" s="1083"/>
      <c r="C279" s="1082"/>
      <c r="D279" s="1039"/>
      <c r="E279" s="1082"/>
      <c r="F279" s="1083">
        <f>'Gruppe B'!AY46</f>
        <v>1</v>
      </c>
      <c r="G279" s="1084">
        <f>'Gruppe B'!Q100</f>
        <v>0.5</v>
      </c>
      <c r="H279" s="1043">
        <f>'Gruppe B'!BR100</f>
        <v>0</v>
      </c>
      <c r="I279" s="989">
        <f>'Gruppe B'!AW151</f>
        <v>0</v>
      </c>
      <c r="J279" s="1083"/>
      <c r="K279" s="1082">
        <f>'Gruppe B'!BF100</f>
        <v>0.33333333333333331</v>
      </c>
      <c r="L279" s="1240"/>
      <c r="M279" s="1085"/>
      <c r="N279" s="989">
        <f>'Spiel 7 - Viertelfinal'!K72</f>
        <v>0</v>
      </c>
      <c r="O279" s="1084">
        <f>'Spiel 7 - Viertelfinal'!R72</f>
        <v>0.5</v>
      </c>
      <c r="P279" s="989">
        <f>'Spiel 7 - Viertelfinal'!AL72</f>
        <v>0</v>
      </c>
      <c r="Q279" s="1084"/>
      <c r="R279" s="1084"/>
      <c r="S279" s="1084"/>
      <c r="T279" s="989">
        <f>'Spiel 8 - Halbfinal'!Y61</f>
        <v>0</v>
      </c>
      <c r="U279" s="1084"/>
      <c r="V279" s="1084"/>
      <c r="W279" s="1084"/>
      <c r="X279" s="1084">
        <f>'Spiel 9 - Final'!C74</f>
        <v>0.2</v>
      </c>
      <c r="Y279" s="1084">
        <f>'Spiel 9 - Final'!W74</f>
        <v>0.5</v>
      </c>
      <c r="Z279" s="1084">
        <f>'Spiel 9 - Final'!AD74</f>
        <v>0.5</v>
      </c>
      <c r="AA279" s="1235"/>
      <c r="AB279" s="1086"/>
      <c r="AC279" s="996">
        <f>AC278/AC277</f>
        <v>0.25925925925925924</v>
      </c>
    </row>
    <row r="280" spans="1:29" hidden="1" outlineLevel="1">
      <c r="A280" s="971" t="s">
        <v>5</v>
      </c>
      <c r="B280" s="1045"/>
      <c r="C280" s="1088"/>
      <c r="D280" s="1047"/>
      <c r="E280" s="1050"/>
      <c r="F280" s="1124">
        <f>'Gruppe B'!AY47</f>
        <v>0</v>
      </c>
      <c r="G280" s="1049">
        <f>'Gruppe B'!Q101</f>
        <v>1</v>
      </c>
      <c r="H280" s="1047">
        <f>'Gruppe B'!BR101</f>
        <v>6.5</v>
      </c>
      <c r="I280" s="1048">
        <f>'Gruppe B'!AW152</f>
        <v>7</v>
      </c>
      <c r="J280" s="1045"/>
      <c r="K280" s="1046">
        <f>'Gruppe B'!BF101</f>
        <v>4</v>
      </c>
      <c r="L280" s="1047"/>
      <c r="M280" s="1050"/>
      <c r="N280" s="1088">
        <f>'Spiel 7 - Viertelfinal'!K73</f>
        <v>7.5</v>
      </c>
      <c r="O280" s="1088">
        <f>'Spiel 7 - Viertelfinal'!R73</f>
        <v>5</v>
      </c>
      <c r="P280" s="1088">
        <f>'Spiel 7 - Viertelfinal'!AL73</f>
        <v>3</v>
      </c>
      <c r="Q280" s="1088"/>
      <c r="R280" s="1088"/>
      <c r="S280" s="1088"/>
      <c r="T280" s="1088">
        <f>'Spiel 8 - Halbfinal'!Y62</f>
        <v>9</v>
      </c>
      <c r="U280" s="1088"/>
      <c r="V280" s="1088"/>
      <c r="W280" s="1088"/>
      <c r="X280" s="1088">
        <f>'Spiel 9 - Final'!C75</f>
        <v>3.4</v>
      </c>
      <c r="Y280" s="1088">
        <f>'Spiel 9 - Final'!W75</f>
        <v>4</v>
      </c>
      <c r="Z280" s="1088">
        <f>'Spiel 9 - Final'!AD75</f>
        <v>1</v>
      </c>
      <c r="AA280" s="1088"/>
      <c r="AB280" s="1049"/>
      <c r="AC280" s="1002">
        <f>AC276/AC277</f>
        <v>4.4814814814814818</v>
      </c>
    </row>
    <row r="281" spans="1:29" hidden="1" outlineLevel="1">
      <c r="A281" s="1003" t="s">
        <v>8</v>
      </c>
      <c r="B281" s="1053"/>
      <c r="C281" s="1091"/>
      <c r="D281" s="1055"/>
      <c r="E281" s="1058"/>
      <c r="F281" s="1091">
        <f>'Gruppe B'!AY48</f>
        <v>0</v>
      </c>
      <c r="G281" s="1057">
        <f>'Gruppe B'!Q102</f>
        <v>2</v>
      </c>
      <c r="H281" s="1055">
        <f>'Gruppe B'!BR102</f>
        <v>6.5</v>
      </c>
      <c r="I281" s="1056">
        <f>'Gruppe B'!AW153</f>
        <v>7</v>
      </c>
      <c r="J281" s="1053"/>
      <c r="K281" s="1054">
        <f>'Gruppe B'!BF102</f>
        <v>6</v>
      </c>
      <c r="L281" s="1055"/>
      <c r="M281" s="1058"/>
      <c r="N281" s="1091">
        <f>'Spiel 7 - Viertelfinal'!K74</f>
        <v>7.5</v>
      </c>
      <c r="O281" s="1091">
        <f>'Spiel 7 - Viertelfinal'!R74</f>
        <v>10</v>
      </c>
      <c r="P281" s="1091">
        <f>'Spiel 7 - Viertelfinal'!AL74</f>
        <v>3</v>
      </c>
      <c r="Q281" s="1091"/>
      <c r="R281" s="1091"/>
      <c r="S281" s="1091"/>
      <c r="T281" s="1091">
        <f>'Spiel 8 - Halbfinal'!Y63</f>
        <v>9</v>
      </c>
      <c r="U281" s="1091"/>
      <c r="V281" s="1091"/>
      <c r="W281" s="1091"/>
      <c r="X281" s="1091">
        <f>'Spiel 9 - Final'!C76</f>
        <v>4.25</v>
      </c>
      <c r="Y281" s="1091">
        <f>'Spiel 9 - Final'!W76</f>
        <v>8</v>
      </c>
      <c r="Z281" s="1091">
        <f>'Spiel 9 - Final'!AD76</f>
        <v>2</v>
      </c>
      <c r="AA281" s="1091"/>
      <c r="AB281" s="1057"/>
      <c r="AC281" s="1007">
        <f>AC276/(AC277-AC278)</f>
        <v>6.05</v>
      </c>
    </row>
    <row r="282" spans="1:29" ht="3" hidden="1" customHeight="1" outlineLevel="1">
      <c r="M282" s="1129"/>
    </row>
    <row r="283" spans="1:29" collapsed="1">
      <c r="A283" s="1244" t="s">
        <v>131</v>
      </c>
      <c r="B283" s="1245"/>
      <c r="C283" s="1246"/>
      <c r="D283" s="1246"/>
      <c r="E283" s="1246"/>
      <c r="F283" s="1246"/>
      <c r="G283" s="1246"/>
      <c r="H283" s="1246"/>
      <c r="I283" s="1246"/>
      <c r="J283" s="1246"/>
      <c r="K283" s="1246"/>
      <c r="L283" s="1246"/>
      <c r="M283" s="1246"/>
      <c r="N283" s="1246"/>
      <c r="O283" s="1246"/>
      <c r="P283" s="1246"/>
      <c r="Q283" s="1246"/>
      <c r="R283" s="1246"/>
      <c r="S283" s="1246"/>
      <c r="T283" s="1246"/>
      <c r="U283" s="1246"/>
      <c r="V283" s="1246"/>
      <c r="W283" s="1246"/>
      <c r="X283" s="1246"/>
      <c r="Y283" s="1246"/>
      <c r="Z283" s="1246"/>
      <c r="AA283" s="1246"/>
      <c r="AB283" s="1247"/>
      <c r="AC283" s="1244"/>
    </row>
    <row r="284" spans="1:29">
      <c r="A284" s="971" t="s">
        <v>3</v>
      </c>
      <c r="B284" s="972">
        <f>B292+B300+B308+B316</f>
        <v>45</v>
      </c>
      <c r="C284" s="973">
        <f t="shared" ref="C284:Q284" si="82">C292+C300+C308+C316</f>
        <v>50</v>
      </c>
      <c r="D284" s="980">
        <f t="shared" si="82"/>
        <v>25</v>
      </c>
      <c r="E284" s="978">
        <f t="shared" si="82"/>
        <v>50</v>
      </c>
      <c r="F284" s="1105">
        <f t="shared" si="82"/>
        <v>50</v>
      </c>
      <c r="G284" s="983">
        <f t="shared" si="82"/>
        <v>50</v>
      </c>
      <c r="H284" s="972">
        <f t="shared" si="82"/>
        <v>31</v>
      </c>
      <c r="I284" s="978">
        <f t="shared" si="82"/>
        <v>50</v>
      </c>
      <c r="J284" s="972">
        <f t="shared" si="82"/>
        <v>50</v>
      </c>
      <c r="K284" s="981">
        <f t="shared" si="82"/>
        <v>50</v>
      </c>
      <c r="L284" s="982"/>
      <c r="M284" s="983"/>
      <c r="N284" s="1248">
        <f t="shared" si="82"/>
        <v>50</v>
      </c>
      <c r="O284" s="1249">
        <f t="shared" si="82"/>
        <v>37</v>
      </c>
      <c r="P284" s="1249">
        <f t="shared" si="82"/>
        <v>25</v>
      </c>
      <c r="Q284" s="1248">
        <f t="shared" si="82"/>
        <v>20</v>
      </c>
      <c r="R284" s="1248"/>
      <c r="S284" s="982"/>
      <c r="T284" s="981"/>
      <c r="U284" s="981"/>
      <c r="V284" s="981"/>
      <c r="W284" s="983"/>
      <c r="X284" s="981">
        <f t="shared" ref="X284:Z284" si="83">X292+X300+X308+X316</f>
        <v>50</v>
      </c>
      <c r="Y284" s="981">
        <f t="shared" si="83"/>
        <v>49</v>
      </c>
      <c r="Z284" s="981">
        <f t="shared" si="83"/>
        <v>25</v>
      </c>
      <c r="AA284" s="981"/>
      <c r="AB284" s="984"/>
      <c r="AC284" s="979">
        <f>SUM(B284:AB284)</f>
        <v>707</v>
      </c>
    </row>
    <row r="285" spans="1:29">
      <c r="A285" s="971" t="s">
        <v>4</v>
      </c>
      <c r="B285" s="982">
        <f t="shared" ref="B285:Q285" si="84">B293+B301+B309+B317</f>
        <v>11</v>
      </c>
      <c r="C285" s="981">
        <f t="shared" si="84"/>
        <v>8</v>
      </c>
      <c r="D285" s="980">
        <f t="shared" si="84"/>
        <v>19</v>
      </c>
      <c r="E285" s="983">
        <f t="shared" si="84"/>
        <v>9</v>
      </c>
      <c r="F285" s="981">
        <f t="shared" si="84"/>
        <v>9</v>
      </c>
      <c r="G285" s="984">
        <f t="shared" si="84"/>
        <v>14</v>
      </c>
      <c r="H285" s="980">
        <f t="shared" si="84"/>
        <v>10</v>
      </c>
      <c r="I285" s="1104">
        <f t="shared" si="84"/>
        <v>10</v>
      </c>
      <c r="J285" s="982">
        <f t="shared" si="84"/>
        <v>9</v>
      </c>
      <c r="K285" s="1105">
        <f t="shared" si="84"/>
        <v>8</v>
      </c>
      <c r="L285" s="980"/>
      <c r="M285" s="983"/>
      <c r="N285" s="981">
        <f t="shared" si="84"/>
        <v>11</v>
      </c>
      <c r="O285" s="981">
        <f t="shared" si="84"/>
        <v>8</v>
      </c>
      <c r="P285" s="981">
        <f t="shared" si="84"/>
        <v>13</v>
      </c>
      <c r="Q285" s="981">
        <f t="shared" si="84"/>
        <v>8</v>
      </c>
      <c r="R285" s="981"/>
      <c r="S285" s="982"/>
      <c r="T285" s="981"/>
      <c r="U285" s="981"/>
      <c r="V285" s="981"/>
      <c r="W285" s="983"/>
      <c r="X285" s="981">
        <f t="shared" ref="X285:Z285" si="85">X293+X301+X309+X317</f>
        <v>21</v>
      </c>
      <c r="Y285" s="981">
        <f t="shared" si="85"/>
        <v>8</v>
      </c>
      <c r="Z285" s="981">
        <f t="shared" si="85"/>
        <v>9</v>
      </c>
      <c r="AA285" s="981"/>
      <c r="AB285" s="984"/>
      <c r="AC285" s="985">
        <f>SUM(B285:AB285)</f>
        <v>185</v>
      </c>
    </row>
    <row r="286" spans="1:29">
      <c r="A286" s="971" t="s">
        <v>6</v>
      </c>
      <c r="B286" s="982">
        <f t="shared" ref="B286:Q286" si="86">B294+B302+B310+B318</f>
        <v>1</v>
      </c>
      <c r="C286" s="986">
        <f t="shared" si="86"/>
        <v>1</v>
      </c>
      <c r="D286" s="980">
        <f t="shared" si="86"/>
        <v>5</v>
      </c>
      <c r="E286" s="1104">
        <f t="shared" si="86"/>
        <v>1</v>
      </c>
      <c r="F286" s="980">
        <f t="shared" si="86"/>
        <v>1</v>
      </c>
      <c r="G286" s="1104">
        <f t="shared" si="86"/>
        <v>2</v>
      </c>
      <c r="H286" s="980">
        <f t="shared" si="86"/>
        <v>5</v>
      </c>
      <c r="I286" s="1104">
        <f t="shared" si="86"/>
        <v>2</v>
      </c>
      <c r="J286" s="980">
        <f t="shared" si="86"/>
        <v>2</v>
      </c>
      <c r="K286" s="1105">
        <f t="shared" si="86"/>
        <v>2</v>
      </c>
      <c r="L286" s="980"/>
      <c r="M286" s="983"/>
      <c r="N286" s="973">
        <f t="shared" si="86"/>
        <v>0</v>
      </c>
      <c r="O286" s="981">
        <f t="shared" si="86"/>
        <v>2</v>
      </c>
      <c r="P286" s="981">
        <f t="shared" si="86"/>
        <v>1</v>
      </c>
      <c r="Q286" s="981">
        <f t="shared" si="86"/>
        <v>3</v>
      </c>
      <c r="R286" s="981"/>
      <c r="S286" s="982"/>
      <c r="T286" s="981"/>
      <c r="U286" s="981"/>
      <c r="V286" s="981"/>
      <c r="W286" s="983"/>
      <c r="X286" s="981">
        <f t="shared" ref="X286:Z286" si="87">X294+X302+X310+X318</f>
        <v>5</v>
      </c>
      <c r="Y286" s="981">
        <f t="shared" si="87"/>
        <v>2</v>
      </c>
      <c r="Z286" s="973">
        <f t="shared" si="87"/>
        <v>0</v>
      </c>
      <c r="AA286" s="981"/>
      <c r="AB286" s="984"/>
      <c r="AC286" s="987">
        <f>SUM(B286:AB286)</f>
        <v>35</v>
      </c>
    </row>
    <row r="287" spans="1:29">
      <c r="A287" s="971" t="s">
        <v>12</v>
      </c>
      <c r="B287" s="988">
        <f>B286/B285</f>
        <v>9.0909090909090912E-2</v>
      </c>
      <c r="C287" s="990">
        <f t="shared" ref="C287:K287" si="88">C286/C285</f>
        <v>0.125</v>
      </c>
      <c r="D287" s="993">
        <f t="shared" si="88"/>
        <v>0.26315789473684209</v>
      </c>
      <c r="E287" s="994">
        <f t="shared" si="88"/>
        <v>0.1111111111111111</v>
      </c>
      <c r="F287" s="993">
        <f t="shared" si="88"/>
        <v>0.1111111111111111</v>
      </c>
      <c r="G287" s="994">
        <f t="shared" si="88"/>
        <v>0.14285714285714285</v>
      </c>
      <c r="H287" s="993">
        <f t="shared" si="88"/>
        <v>0.5</v>
      </c>
      <c r="I287" s="994">
        <f t="shared" si="88"/>
        <v>0.2</v>
      </c>
      <c r="J287" s="993">
        <f t="shared" si="88"/>
        <v>0.22222222222222221</v>
      </c>
      <c r="K287" s="992">
        <f t="shared" si="88"/>
        <v>0.25</v>
      </c>
      <c r="L287" s="993"/>
      <c r="M287" s="994"/>
      <c r="N287" s="989">
        <f t="shared" ref="N287:Q287" si="89">N286/N285</f>
        <v>0</v>
      </c>
      <c r="O287" s="992">
        <f t="shared" si="89"/>
        <v>0.25</v>
      </c>
      <c r="P287" s="992">
        <f t="shared" si="89"/>
        <v>7.6923076923076927E-2</v>
      </c>
      <c r="Q287" s="992">
        <f t="shared" si="89"/>
        <v>0.375</v>
      </c>
      <c r="R287" s="992"/>
      <c r="S287" s="993"/>
      <c r="T287" s="992"/>
      <c r="U287" s="992"/>
      <c r="V287" s="992"/>
      <c r="W287" s="994"/>
      <c r="X287" s="992">
        <f t="shared" ref="X287:Z287" si="90">X286/X285</f>
        <v>0.23809523809523808</v>
      </c>
      <c r="Y287" s="992">
        <f t="shared" si="90"/>
        <v>0.25</v>
      </c>
      <c r="Z287" s="989">
        <f t="shared" si="90"/>
        <v>0</v>
      </c>
      <c r="AA287" s="992"/>
      <c r="AB287" s="995"/>
      <c r="AC287" s="996">
        <f>AC286/AC285</f>
        <v>0.1891891891891892</v>
      </c>
    </row>
    <row r="288" spans="1:29">
      <c r="A288" s="971" t="s">
        <v>5</v>
      </c>
      <c r="B288" s="997">
        <f t="shared" ref="B288:G288" si="91">(B296+B304+B312+B320)/4</f>
        <v>4</v>
      </c>
      <c r="C288" s="998">
        <f t="shared" si="91"/>
        <v>6.25</v>
      </c>
      <c r="D288" s="999">
        <f t="shared" si="91"/>
        <v>1.3875000000000002</v>
      </c>
      <c r="E288" s="1000">
        <f t="shared" si="91"/>
        <v>5.625</v>
      </c>
      <c r="F288" s="1106">
        <f t="shared" si="91"/>
        <v>5.1666666666666661</v>
      </c>
      <c r="G288" s="1001">
        <f t="shared" si="91"/>
        <v>3.75</v>
      </c>
      <c r="H288" s="999">
        <f>(H296+H304+H312+H320)/4</f>
        <v>2.5833333333333335</v>
      </c>
      <c r="I288" s="1107">
        <f t="shared" ref="I288:K288" si="92">(I296+I304+I312+I320)/4</f>
        <v>4.7083333333333339</v>
      </c>
      <c r="J288" s="997">
        <f t="shared" si="92"/>
        <v>5.416666666666667</v>
      </c>
      <c r="K288" s="1108">
        <f t="shared" si="92"/>
        <v>6.25</v>
      </c>
      <c r="L288" s="999"/>
      <c r="M288" s="1000"/>
      <c r="N288" s="998">
        <f t="shared" ref="N288:Q288" si="93">(N296+N304+N312+N320)/4</f>
        <v>5.0416666666666661</v>
      </c>
      <c r="O288" s="998">
        <f t="shared" si="93"/>
        <v>4.625</v>
      </c>
      <c r="P288" s="998">
        <f t="shared" si="93"/>
        <v>2.291666666666667</v>
      </c>
      <c r="Q288" s="998">
        <f t="shared" si="93"/>
        <v>2.5</v>
      </c>
      <c r="R288" s="998"/>
      <c r="S288" s="997"/>
      <c r="T288" s="998"/>
      <c r="U288" s="998"/>
      <c r="V288" s="998"/>
      <c r="W288" s="1000"/>
      <c r="X288" s="998">
        <f t="shared" ref="X288:Z288" si="94">(X296+X304+X312+X320)/4</f>
        <v>2.3166666666666664</v>
      </c>
      <c r="Y288" s="998">
        <f t="shared" si="94"/>
        <v>6.125</v>
      </c>
      <c r="Z288" s="998">
        <f t="shared" si="94"/>
        <v>3.666666666666667</v>
      </c>
      <c r="AA288" s="998"/>
      <c r="AB288" s="1001"/>
      <c r="AC288" s="1002">
        <f>AC284/AC285</f>
        <v>3.8216216216216217</v>
      </c>
    </row>
    <row r="289" spans="1:29">
      <c r="A289" s="1003" t="s">
        <v>8</v>
      </c>
      <c r="B289" s="1004">
        <f t="shared" ref="B289:G289" si="95">(B297+B305+B313+B321)/4</f>
        <v>4.75</v>
      </c>
      <c r="C289" s="1005">
        <f t="shared" si="95"/>
        <v>6.375</v>
      </c>
      <c r="D289" s="1109">
        <f t="shared" si="95"/>
        <v>1.1208333333333336</v>
      </c>
      <c r="E289" s="1006">
        <f t="shared" si="95"/>
        <v>6.25</v>
      </c>
      <c r="F289" s="1005">
        <f t="shared" si="95"/>
        <v>5.5416666666666661</v>
      </c>
      <c r="G289" s="1110">
        <f t="shared" si="95"/>
        <v>4.270833333333333</v>
      </c>
      <c r="H289" s="1109">
        <f>(H297+H305+H313+H321)/4</f>
        <v>3</v>
      </c>
      <c r="I289" s="1111">
        <f t="shared" ref="I289:K289" si="96">(I297+I305+I313+I321)/4</f>
        <v>6.25</v>
      </c>
      <c r="J289" s="1004">
        <f t="shared" si="96"/>
        <v>5.416666666666667</v>
      </c>
      <c r="K289" s="1112">
        <f t="shared" si="96"/>
        <v>6.25</v>
      </c>
      <c r="L289" s="1109"/>
      <c r="M289" s="1006"/>
      <c r="N289" s="1005">
        <f t="shared" ref="N289:Q289" si="97">(N297+N305+N313+N321)/4</f>
        <v>5.0416666666666661</v>
      </c>
      <c r="O289" s="1005">
        <f t="shared" si="97"/>
        <v>4.625</v>
      </c>
      <c r="P289" s="1005">
        <f t="shared" si="97"/>
        <v>2.0833333333333335</v>
      </c>
      <c r="Q289" s="1005">
        <f t="shared" si="97"/>
        <v>2.75</v>
      </c>
      <c r="R289" s="1005"/>
      <c r="S289" s="1004"/>
      <c r="T289" s="1005"/>
      <c r="U289" s="1005"/>
      <c r="V289" s="1005"/>
      <c r="W289" s="1006"/>
      <c r="X289" s="1005">
        <f t="shared" ref="X289:Z289" si="98">(X297+X305+X313+X321)/4</f>
        <v>3.354166666666667</v>
      </c>
      <c r="Y289" s="1005">
        <f t="shared" si="98"/>
        <v>8.375</v>
      </c>
      <c r="Z289" s="1005">
        <f t="shared" si="98"/>
        <v>3.666666666666667</v>
      </c>
      <c r="AA289" s="1005"/>
      <c r="AB289" s="1110"/>
      <c r="AC289" s="1007">
        <f>AC284/(AC285-AC286)</f>
        <v>4.7133333333333329</v>
      </c>
    </row>
    <row r="290" spans="1:29" ht="3" customHeight="1">
      <c r="B290" s="582"/>
      <c r="C290" s="582"/>
      <c r="D290" s="582"/>
      <c r="E290" s="582"/>
      <c r="F290" s="582"/>
      <c r="G290" s="582"/>
      <c r="H290" s="582"/>
      <c r="I290" s="582"/>
      <c r="J290" s="582"/>
      <c r="K290" s="582"/>
      <c r="L290" s="582"/>
      <c r="M290" s="1025"/>
      <c r="N290" s="582"/>
      <c r="O290" s="582"/>
      <c r="P290" s="582"/>
      <c r="Q290" s="582"/>
      <c r="R290" s="582"/>
      <c r="S290" s="582"/>
      <c r="T290" s="582"/>
      <c r="U290" s="582"/>
      <c r="V290" s="582"/>
      <c r="W290" s="582"/>
      <c r="X290" s="582"/>
      <c r="Y290" s="582"/>
      <c r="Z290" s="582"/>
      <c r="AA290" s="582"/>
      <c r="AB290" s="582"/>
    </row>
    <row r="291" spans="1:29" hidden="1" outlineLevel="1">
      <c r="A291" s="1178" t="s">
        <v>9</v>
      </c>
      <c r="B291" s="1021"/>
      <c r="C291" s="1022"/>
      <c r="D291" s="1021"/>
      <c r="E291" s="1023"/>
      <c r="F291" s="1022"/>
      <c r="G291" s="1023"/>
      <c r="H291" s="1021"/>
      <c r="I291" s="1023"/>
      <c r="J291" s="1021"/>
      <c r="K291" s="1023"/>
      <c r="L291" s="1021"/>
      <c r="M291" s="1023"/>
      <c r="N291" s="1022"/>
      <c r="O291" s="1022"/>
      <c r="P291" s="1022"/>
      <c r="Q291" s="1022"/>
      <c r="R291" s="1022"/>
      <c r="S291" s="1022"/>
      <c r="T291" s="1022"/>
      <c r="U291" s="1022"/>
      <c r="V291" s="1022"/>
      <c r="W291" s="1022"/>
      <c r="X291" s="1022"/>
      <c r="Y291" s="1022"/>
      <c r="Z291" s="1022"/>
      <c r="AA291" s="1022"/>
      <c r="AB291" s="1023"/>
      <c r="AC291" s="1178"/>
    </row>
    <row r="292" spans="1:29" hidden="1" outlineLevel="1">
      <c r="A292" s="971" t="s">
        <v>3</v>
      </c>
      <c r="B292" s="1027">
        <f>'Gruppe B'!BP20</f>
        <v>3</v>
      </c>
      <c r="C292" s="113">
        <f>'Gruppe B'!K148</f>
        <v>17</v>
      </c>
      <c r="D292" s="1028">
        <f>'Gruppe B'!K97</f>
        <v>27</v>
      </c>
      <c r="E292" s="1029">
        <f>'Gruppe B'!AR20</f>
        <v>9</v>
      </c>
      <c r="F292" s="113">
        <f>'Gruppe B'!K66</f>
        <v>10</v>
      </c>
      <c r="G292" s="1031">
        <f>'Gruppe B'!AC20</f>
        <v>29</v>
      </c>
      <c r="H292" s="106">
        <f>'Gruppe B'!BD20</f>
        <v>21</v>
      </c>
      <c r="I292" s="1029">
        <f>'Gruppe B'!M121</f>
        <v>4</v>
      </c>
      <c r="J292" s="1028">
        <f>'Gruppe B'!K43</f>
        <v>14</v>
      </c>
      <c r="K292" s="1079">
        <f>'Gruppe B'!P20</f>
        <v>20</v>
      </c>
      <c r="L292" s="1027"/>
      <c r="M292" s="1031"/>
      <c r="N292" s="1079">
        <f>'Spiel 7 - Viertelfinal'!B47</f>
        <v>27</v>
      </c>
      <c r="O292" s="1079">
        <f>'Spiel 7 - Viertelfinal'!W47</f>
        <v>0</v>
      </c>
      <c r="P292" s="1079">
        <f>'Spiel 7 - Viertelfinal'!AC47</f>
        <v>-17</v>
      </c>
      <c r="Q292" s="1079">
        <f>'Spiel 7 - Viertelfinal'!AV47</f>
        <v>11</v>
      </c>
      <c r="R292" s="1079"/>
      <c r="S292" s="1079"/>
      <c r="T292" s="1079"/>
      <c r="U292" s="1079"/>
      <c r="V292" s="1079"/>
      <c r="W292" s="1079"/>
      <c r="X292" s="1079">
        <f>'Spiel 9 - Final'!I71</f>
        <v>22</v>
      </c>
      <c r="Y292" s="1079">
        <f>'Spiel 9 - Final'!R71</f>
        <v>15</v>
      </c>
      <c r="Z292" s="1079">
        <f>'Spiel 9 - Final'!AL71</f>
        <v>9</v>
      </c>
      <c r="AA292" s="1079"/>
      <c r="AB292" s="1030"/>
      <c r="AC292" s="979">
        <f>SUM(B292:AB292)</f>
        <v>221</v>
      </c>
    </row>
    <row r="293" spans="1:29" hidden="1" outlineLevel="1">
      <c r="A293" s="971" t="s">
        <v>4</v>
      </c>
      <c r="B293" s="1028">
        <f>'Gruppe B'!BP21</f>
        <v>3</v>
      </c>
      <c r="C293" s="1079">
        <f>'Gruppe B'!K149</f>
        <v>2</v>
      </c>
      <c r="D293" s="1028">
        <f>'Gruppe B'!K98</f>
        <v>5</v>
      </c>
      <c r="E293" s="1031">
        <f>'Gruppe B'!AR21</f>
        <v>2</v>
      </c>
      <c r="F293" s="1079">
        <f>'Gruppe B'!K67</f>
        <v>2</v>
      </c>
      <c r="G293" s="1030">
        <f>'Gruppe B'!AC21</f>
        <v>4</v>
      </c>
      <c r="H293" s="1028">
        <f>'Gruppe B'!BD21</f>
        <v>3</v>
      </c>
      <c r="I293" s="1029">
        <f>'Gruppe B'!M122</f>
        <v>2</v>
      </c>
      <c r="J293" s="1027">
        <f>'Gruppe B'!K44</f>
        <v>2</v>
      </c>
      <c r="K293" s="113">
        <f>'Gruppe B'!P21</f>
        <v>2</v>
      </c>
      <c r="L293" s="1028"/>
      <c r="M293" s="1031"/>
      <c r="N293" s="1079">
        <f>'Spiel 7 - Viertelfinal'!B48</f>
        <v>3</v>
      </c>
      <c r="O293" s="1079">
        <f>'Spiel 7 - Viertelfinal'!W48</f>
        <v>2</v>
      </c>
      <c r="P293" s="1079">
        <f>'Spiel 7 - Viertelfinal'!AC48</f>
        <v>3</v>
      </c>
      <c r="Q293" s="1079">
        <f>'Spiel 7 - Viertelfinal'!AV48</f>
        <v>2</v>
      </c>
      <c r="R293" s="1079"/>
      <c r="S293" s="1079"/>
      <c r="T293" s="1079"/>
      <c r="U293" s="1079"/>
      <c r="V293" s="1079"/>
      <c r="W293" s="1079"/>
      <c r="X293" s="1079">
        <f>'Spiel 9 - Final'!I72</f>
        <v>6</v>
      </c>
      <c r="Y293" s="1079">
        <f>'Spiel 9 - Final'!R72</f>
        <v>2</v>
      </c>
      <c r="Z293" s="1079">
        <f>'Spiel 9 - Final'!AL72</f>
        <v>2</v>
      </c>
      <c r="AA293" s="1079"/>
      <c r="AB293" s="1030"/>
      <c r="AC293" s="985">
        <f>SUM(B293:AB293)</f>
        <v>47</v>
      </c>
    </row>
    <row r="294" spans="1:29" hidden="1" outlineLevel="1">
      <c r="A294" s="971" t="s">
        <v>6</v>
      </c>
      <c r="B294" s="972">
        <f>'Gruppe B'!BP22</f>
        <v>0</v>
      </c>
      <c r="C294" s="973">
        <f>'Gruppe B'!K150</f>
        <v>0</v>
      </c>
      <c r="D294" s="972">
        <f>'Gruppe B'!K99</f>
        <v>0</v>
      </c>
      <c r="E294" s="978">
        <f>'Gruppe B'!AR22</f>
        <v>0</v>
      </c>
      <c r="F294" s="972">
        <f>'Gruppe B'!K68</f>
        <v>0</v>
      </c>
      <c r="G294" s="978">
        <f>'Gruppe B'!AC22</f>
        <v>0</v>
      </c>
      <c r="H294" s="972">
        <f>'Gruppe B'!BD22</f>
        <v>0</v>
      </c>
      <c r="I294" s="978">
        <f>'Gruppe B'!M123</f>
        <v>0</v>
      </c>
      <c r="J294" s="972">
        <f>'Gruppe B'!K45</f>
        <v>0</v>
      </c>
      <c r="K294" s="973">
        <f>'Gruppe B'!P22</f>
        <v>0</v>
      </c>
      <c r="L294" s="1028"/>
      <c r="M294" s="1031"/>
      <c r="N294" s="973">
        <f>'Spiel 7 - Viertelfinal'!B49</f>
        <v>0</v>
      </c>
      <c r="O294" s="1079">
        <f>'Spiel 7 - Viertelfinal'!W49</f>
        <v>2</v>
      </c>
      <c r="P294" s="973">
        <f>'Spiel 7 - Viertelfinal'!AC49</f>
        <v>0</v>
      </c>
      <c r="Q294" s="973">
        <f>'Spiel 7 - Viertelfinal'!AV49</f>
        <v>0</v>
      </c>
      <c r="R294" s="1079"/>
      <c r="S294" s="1079"/>
      <c r="T294" s="1079"/>
      <c r="U294" s="1079"/>
      <c r="V294" s="1079"/>
      <c r="W294" s="1079"/>
      <c r="X294" s="1079">
        <f>'Spiel 9 - Final'!I73</f>
        <v>2</v>
      </c>
      <c r="Y294" s="973">
        <f>'Spiel 9 - Final'!R73</f>
        <v>0</v>
      </c>
      <c r="Z294" s="973">
        <f>'Spiel 9 - Final'!AL73</f>
        <v>0</v>
      </c>
      <c r="AA294" s="1079"/>
      <c r="AB294" s="1030"/>
      <c r="AC294" s="987">
        <f>SUM(B294:AB294)</f>
        <v>4</v>
      </c>
    </row>
    <row r="295" spans="1:29" hidden="1" outlineLevel="1">
      <c r="A295" s="971" t="s">
        <v>12</v>
      </c>
      <c r="B295" s="1043">
        <f>'Gruppe B'!BP23</f>
        <v>0</v>
      </c>
      <c r="C295" s="989">
        <f>'Gruppe B'!K151</f>
        <v>0</v>
      </c>
      <c r="D295" s="1043">
        <f>'Gruppe B'!K100</f>
        <v>0</v>
      </c>
      <c r="E295" s="1042">
        <f>'Gruppe B'!AR23</f>
        <v>0</v>
      </c>
      <c r="F295" s="1043">
        <f>'Gruppe B'!K69</f>
        <v>0</v>
      </c>
      <c r="G295" s="1042">
        <f>'Gruppe B'!AC23</f>
        <v>0</v>
      </c>
      <c r="H295" s="1043">
        <f>'Gruppe B'!BD23</f>
        <v>0</v>
      </c>
      <c r="I295" s="1042">
        <f>'Gruppe B'!M124</f>
        <v>0</v>
      </c>
      <c r="J295" s="1043">
        <f>'Gruppe B'!K46</f>
        <v>0</v>
      </c>
      <c r="K295" s="989">
        <f>'Gruppe B'!P23</f>
        <v>0</v>
      </c>
      <c r="L295" s="1083"/>
      <c r="M295" s="1085"/>
      <c r="N295" s="989">
        <f>'Spiel 7 - Viertelfinal'!B50</f>
        <v>0</v>
      </c>
      <c r="O295" s="1084">
        <f>'Spiel 7 - Viertelfinal'!W50</f>
        <v>1</v>
      </c>
      <c r="P295" s="989">
        <f>'Spiel 7 - Viertelfinal'!AC50</f>
        <v>0</v>
      </c>
      <c r="Q295" s="989">
        <f>'Spiel 7 - Viertelfinal'!AV50</f>
        <v>0</v>
      </c>
      <c r="R295" s="1084"/>
      <c r="S295" s="1084"/>
      <c r="T295" s="1084"/>
      <c r="U295" s="1084"/>
      <c r="V295" s="1084"/>
      <c r="W295" s="1084"/>
      <c r="X295" s="1084">
        <f>'Spiel 9 - Final'!I74</f>
        <v>0.33333333333333331</v>
      </c>
      <c r="Y295" s="989">
        <f>'Spiel 9 - Final'!R74</f>
        <v>0</v>
      </c>
      <c r="Z295" s="989">
        <f>'Spiel 9 - Final'!AL74</f>
        <v>0</v>
      </c>
      <c r="AA295" s="1084"/>
      <c r="AB295" s="1086"/>
      <c r="AC295" s="996">
        <f>AC294/AC293</f>
        <v>8.5106382978723402E-2</v>
      </c>
    </row>
    <row r="296" spans="1:29" hidden="1" outlineLevel="1">
      <c r="A296" s="971" t="s">
        <v>5</v>
      </c>
      <c r="B296" s="1045">
        <f>'Gruppe B'!BP24</f>
        <v>1</v>
      </c>
      <c r="C296" s="1088">
        <f>'Gruppe B'!K152</f>
        <v>8.5</v>
      </c>
      <c r="D296" s="1047">
        <f>'Gruppe B'!K101</f>
        <v>5.4</v>
      </c>
      <c r="E296" s="1050">
        <f>'Gruppe B'!AR24</f>
        <v>4.5</v>
      </c>
      <c r="F296" s="1124">
        <f>'Gruppe B'!K70</f>
        <v>5</v>
      </c>
      <c r="G296" s="1049">
        <f>'Gruppe B'!AC24</f>
        <v>7.25</v>
      </c>
      <c r="H296" s="1047">
        <f>'Gruppe B'!BD24</f>
        <v>7</v>
      </c>
      <c r="I296" s="1048">
        <f>'Gruppe B'!M125</f>
        <v>2</v>
      </c>
      <c r="J296" s="1045">
        <f>'Gruppe B'!K47</f>
        <v>7</v>
      </c>
      <c r="K296" s="1046">
        <f>'Gruppe B'!P24</f>
        <v>10</v>
      </c>
      <c r="L296" s="1047"/>
      <c r="M296" s="1050"/>
      <c r="N296" s="1088">
        <f>'Spiel 7 - Viertelfinal'!B51</f>
        <v>9</v>
      </c>
      <c r="O296" s="1088">
        <f>'Spiel 7 - Viertelfinal'!W51</f>
        <v>0</v>
      </c>
      <c r="P296" s="1088">
        <f>'Spiel 7 - Viertelfinal'!AC51</f>
        <v>-5.666666666666667</v>
      </c>
      <c r="Q296" s="1088">
        <f>'Spiel 7 - Viertelfinal'!AV51</f>
        <v>5.5</v>
      </c>
      <c r="R296" s="1088"/>
      <c r="S296" s="1088"/>
      <c r="T296" s="1088"/>
      <c r="U296" s="1088"/>
      <c r="V296" s="1088"/>
      <c r="W296" s="1088"/>
      <c r="X296" s="1088">
        <f>'Spiel 9 - Final'!I75</f>
        <v>3.6666666666666665</v>
      </c>
      <c r="Y296" s="1088">
        <f>'Spiel 9 - Final'!R75</f>
        <v>7.5</v>
      </c>
      <c r="Z296" s="1088">
        <f>'Spiel 9 - Final'!AL75</f>
        <v>4.5</v>
      </c>
      <c r="AA296" s="1088"/>
      <c r="AB296" s="1049"/>
      <c r="AC296" s="1002">
        <f>AC292/AC293</f>
        <v>4.7021276595744679</v>
      </c>
    </row>
    <row r="297" spans="1:29" hidden="1" outlineLevel="1">
      <c r="A297" s="1003" t="s">
        <v>8</v>
      </c>
      <c r="B297" s="1053">
        <f>'Gruppe B'!BP25</f>
        <v>1</v>
      </c>
      <c r="C297" s="1091">
        <f>'Gruppe B'!K153</f>
        <v>8.5</v>
      </c>
      <c r="D297" s="1055">
        <f>'Gruppe B'!K102</f>
        <v>5.4</v>
      </c>
      <c r="E297" s="1058">
        <f>'Gruppe B'!AR25</f>
        <v>4.5</v>
      </c>
      <c r="F297" s="1091">
        <f>'Gruppe B'!K71</f>
        <v>5</v>
      </c>
      <c r="G297" s="1057">
        <f>'Gruppe B'!AC25</f>
        <v>7.25</v>
      </c>
      <c r="H297" s="1055">
        <f>'Gruppe B'!BD25</f>
        <v>7</v>
      </c>
      <c r="I297" s="1056">
        <f>'Gruppe B'!M126</f>
        <v>2</v>
      </c>
      <c r="J297" s="1053">
        <f>'Gruppe B'!K48</f>
        <v>7</v>
      </c>
      <c r="K297" s="1054">
        <f>'Gruppe B'!P25</f>
        <v>10</v>
      </c>
      <c r="L297" s="1055"/>
      <c r="M297" s="1058"/>
      <c r="N297" s="1091">
        <f>'Spiel 7 - Viertelfinal'!B52</f>
        <v>9</v>
      </c>
      <c r="O297" s="1091">
        <f>'Spiel 7 - Viertelfinal'!W52</f>
        <v>0</v>
      </c>
      <c r="P297" s="1091">
        <f>'Spiel 7 - Viertelfinal'!AC52</f>
        <v>-5.666666666666667</v>
      </c>
      <c r="Q297" s="1091">
        <f>'Spiel 7 - Viertelfinal'!AV52</f>
        <v>5.5</v>
      </c>
      <c r="R297" s="1091"/>
      <c r="S297" s="1091"/>
      <c r="T297" s="1091"/>
      <c r="U297" s="1091"/>
      <c r="V297" s="1091"/>
      <c r="W297" s="1091"/>
      <c r="X297" s="1091">
        <f>'Spiel 9 - Final'!I76</f>
        <v>5.5</v>
      </c>
      <c r="Y297" s="1091">
        <f>'Spiel 9 - Final'!R76</f>
        <v>7.5</v>
      </c>
      <c r="Z297" s="1091">
        <f>'Spiel 9 - Final'!AL76</f>
        <v>4.5</v>
      </c>
      <c r="AA297" s="1091"/>
      <c r="AB297" s="1057"/>
      <c r="AC297" s="1007">
        <f>AC292/(AC293-AC294)</f>
        <v>5.1395348837209305</v>
      </c>
    </row>
    <row r="298" spans="1:29" ht="3" hidden="1" customHeight="1" outlineLevel="1">
      <c r="B298" s="582"/>
      <c r="C298" s="582"/>
      <c r="D298" s="582"/>
      <c r="E298" s="582"/>
      <c r="F298" s="582"/>
      <c r="G298" s="582"/>
      <c r="H298" s="582"/>
      <c r="I298" s="582"/>
      <c r="J298" s="582"/>
      <c r="K298" s="582"/>
      <c r="L298" s="582"/>
      <c r="M298" s="1025"/>
      <c r="N298" s="582"/>
      <c r="O298" s="582"/>
      <c r="P298" s="582"/>
      <c r="Q298" s="582"/>
      <c r="R298" s="582"/>
      <c r="S298" s="582"/>
      <c r="T298" s="582"/>
      <c r="U298" s="582"/>
      <c r="V298" s="582"/>
      <c r="W298" s="582"/>
      <c r="X298" s="582"/>
      <c r="Y298" s="582"/>
      <c r="Z298" s="582"/>
      <c r="AA298" s="582"/>
      <c r="AB298" s="582"/>
    </row>
    <row r="299" spans="1:29" hidden="1" outlineLevel="1">
      <c r="A299" s="1178" t="s">
        <v>132</v>
      </c>
      <c r="B299" s="1242"/>
      <c r="C299" s="1243"/>
      <c r="D299" s="1021"/>
      <c r="E299" s="1023"/>
      <c r="F299" s="1022"/>
      <c r="G299" s="1023"/>
      <c r="H299" s="1021"/>
      <c r="I299" s="1023"/>
      <c r="J299" s="1021"/>
      <c r="K299" s="1023"/>
      <c r="L299" s="1021"/>
      <c r="M299" s="1023"/>
      <c r="N299" s="1022"/>
      <c r="O299" s="1022"/>
      <c r="P299" s="1022"/>
      <c r="Q299" s="1022"/>
      <c r="R299" s="1022"/>
      <c r="S299" s="1022"/>
      <c r="T299" s="1022"/>
      <c r="U299" s="1022"/>
      <c r="V299" s="1022"/>
      <c r="W299" s="1022"/>
      <c r="X299" s="1022"/>
      <c r="Y299" s="1022"/>
      <c r="Z299" s="1022"/>
      <c r="AA299" s="1022"/>
      <c r="AB299" s="1023"/>
      <c r="AC299" s="1178"/>
    </row>
    <row r="300" spans="1:29" hidden="1" outlineLevel="1">
      <c r="A300" s="971" t="s">
        <v>3</v>
      </c>
      <c r="B300" s="1027">
        <f>'Gruppe B'!BQ20</f>
        <v>22</v>
      </c>
      <c r="C300" s="113">
        <f>'Gruppe B'!L148</f>
        <v>1</v>
      </c>
      <c r="D300" s="1028">
        <f>'Gruppe B'!L97</f>
        <v>-38</v>
      </c>
      <c r="E300" s="1029">
        <f>'Gruppe B'!AS20</f>
        <v>16</v>
      </c>
      <c r="F300" s="113">
        <f>'Gruppe B'!L66</f>
        <v>3</v>
      </c>
      <c r="G300" s="1031">
        <f>'Gruppe B'!AD20</f>
        <v>-9</v>
      </c>
      <c r="H300" s="1027">
        <f>'Gruppe B'!BE20</f>
        <v>0</v>
      </c>
      <c r="I300" s="1029">
        <f>'Gruppe B'!J121</f>
        <v>20</v>
      </c>
      <c r="J300" s="1028">
        <f>'Gruppe B'!L43</f>
        <v>0</v>
      </c>
      <c r="K300" s="1079">
        <f>'Gruppe B'!Q20</f>
        <v>0</v>
      </c>
      <c r="L300" s="1027"/>
      <c r="M300" s="1031"/>
      <c r="N300" s="1079">
        <f>'Spiel 7 - Viertelfinal'!C47</f>
        <v>13</v>
      </c>
      <c r="O300" s="1079">
        <f>'Spiel 7 - Viertelfinal'!X47</f>
        <v>16</v>
      </c>
      <c r="P300" s="1079">
        <f>'Spiel 7 - Viertelfinal'!AD47</f>
        <v>25</v>
      </c>
      <c r="Q300" s="1079">
        <f>'Spiel 7 - Viertelfinal'!AW47</f>
        <v>0</v>
      </c>
      <c r="R300" s="1079"/>
      <c r="S300" s="1079"/>
      <c r="T300" s="1079"/>
      <c r="U300" s="1079"/>
      <c r="V300" s="1079"/>
      <c r="W300" s="1079"/>
      <c r="X300" s="1079">
        <f>'Spiel 9 - Final'!J71</f>
        <v>20</v>
      </c>
      <c r="Y300" s="1079">
        <f>'Spiel 9 - Final'!O71</f>
        <v>12</v>
      </c>
      <c r="Z300" s="1079">
        <f>'Spiel 9 - Final'!AI71</f>
        <v>-13</v>
      </c>
      <c r="AA300" s="1079"/>
      <c r="AB300" s="1030"/>
      <c r="AC300" s="979">
        <f>SUM(B300:AB300)</f>
        <v>88</v>
      </c>
    </row>
    <row r="301" spans="1:29" hidden="1" outlineLevel="1">
      <c r="A301" s="971" t="s">
        <v>4</v>
      </c>
      <c r="B301" s="1028">
        <f>'Gruppe B'!BQ21</f>
        <v>3</v>
      </c>
      <c r="C301" s="1079">
        <f>'Gruppe B'!L149</f>
        <v>2</v>
      </c>
      <c r="D301" s="1028">
        <f>'Gruppe B'!L98</f>
        <v>5</v>
      </c>
      <c r="E301" s="1031">
        <f>'Gruppe B'!AS21</f>
        <v>2</v>
      </c>
      <c r="F301" s="1079">
        <f>'Gruppe B'!L67</f>
        <v>2</v>
      </c>
      <c r="G301" s="1030">
        <f>'Gruppe B'!AD21</f>
        <v>4</v>
      </c>
      <c r="H301" s="1028">
        <f>'Gruppe B'!BE21</f>
        <v>2</v>
      </c>
      <c r="I301" s="1029">
        <f>'Gruppe B'!J122</f>
        <v>3</v>
      </c>
      <c r="J301" s="1027">
        <f>'Gruppe B'!L44</f>
        <v>2</v>
      </c>
      <c r="K301" s="113">
        <f>'Gruppe B'!Q21</f>
        <v>2</v>
      </c>
      <c r="L301" s="1028"/>
      <c r="M301" s="1031"/>
      <c r="N301" s="1079">
        <f>'Spiel 7 - Viertelfinal'!C48</f>
        <v>3</v>
      </c>
      <c r="O301" s="1079">
        <f>'Spiel 7 - Viertelfinal'!X48</f>
        <v>2</v>
      </c>
      <c r="P301" s="1079">
        <f>'Spiel 7 - Viertelfinal'!AD48</f>
        <v>3</v>
      </c>
      <c r="Q301" s="1079">
        <f>'Spiel 7 - Viertelfinal'!AW48</f>
        <v>2</v>
      </c>
      <c r="R301" s="1079"/>
      <c r="S301" s="1079"/>
      <c r="T301" s="1079"/>
      <c r="U301" s="1079"/>
      <c r="V301" s="1079"/>
      <c r="W301" s="1079"/>
      <c r="X301" s="1079">
        <f>'Spiel 9 - Final'!J72</f>
        <v>5</v>
      </c>
      <c r="Y301" s="1079">
        <f>'Spiel 9 - Final'!O72</f>
        <v>2</v>
      </c>
      <c r="Z301" s="1079">
        <f>'Spiel 9 - Final'!AI72</f>
        <v>3</v>
      </c>
      <c r="AA301" s="1079"/>
      <c r="AB301" s="1030"/>
      <c r="AC301" s="985">
        <f>SUM(B301:AB301)</f>
        <v>47</v>
      </c>
    </row>
    <row r="302" spans="1:29" hidden="1" outlineLevel="1">
      <c r="A302" s="971" t="s">
        <v>6</v>
      </c>
      <c r="B302" s="972">
        <f>'Gruppe B'!BQ22</f>
        <v>0</v>
      </c>
      <c r="C302" s="115">
        <f>'Gruppe B'!L150</f>
        <v>1</v>
      </c>
      <c r="D302" s="1028">
        <f>'Gruppe B'!L99</f>
        <v>2</v>
      </c>
      <c r="E302" s="978">
        <f>'Gruppe B'!AS22</f>
        <v>0</v>
      </c>
      <c r="F302" s="1028">
        <f>'Gruppe B'!L68</f>
        <v>1</v>
      </c>
      <c r="G302" s="1029">
        <f>'Gruppe B'!AD22</f>
        <v>1</v>
      </c>
      <c r="H302" s="1250">
        <f>'Gruppe B'!BE22</f>
        <v>2</v>
      </c>
      <c r="I302" s="1029">
        <f>'Gruppe B'!J123</f>
        <v>1</v>
      </c>
      <c r="J302" s="1028">
        <f>'Gruppe B'!L45</f>
        <v>2</v>
      </c>
      <c r="K302" s="1251">
        <f>'Gruppe B'!Q22</f>
        <v>2</v>
      </c>
      <c r="L302" s="1028"/>
      <c r="M302" s="1029"/>
      <c r="N302" s="973">
        <f>'Spiel 7 - Viertelfinal'!C49</f>
        <v>0</v>
      </c>
      <c r="O302" s="973">
        <f>'Spiel 7 - Viertelfinal'!X49</f>
        <v>0</v>
      </c>
      <c r="P302" s="973">
        <f>'Spiel 7 - Viertelfinal'!AD49</f>
        <v>0</v>
      </c>
      <c r="Q302" s="113">
        <f>'Spiel 7 - Viertelfinal'!AW49</f>
        <v>2</v>
      </c>
      <c r="R302" s="113"/>
      <c r="S302" s="113"/>
      <c r="T302" s="113"/>
      <c r="U302" s="113"/>
      <c r="V302" s="113"/>
      <c r="W302" s="113"/>
      <c r="X302" s="113">
        <f>'Spiel 9 - Final'!J73</f>
        <v>2</v>
      </c>
      <c r="Y302" s="113">
        <f>'Spiel 9 - Final'!O73</f>
        <v>1</v>
      </c>
      <c r="Z302" s="973">
        <f>'Spiel 9 - Final'!AI73</f>
        <v>0</v>
      </c>
      <c r="AA302" s="113"/>
      <c r="AB302" s="1030"/>
      <c r="AC302" s="987">
        <f>SUM(B302:AB302)</f>
        <v>17</v>
      </c>
    </row>
    <row r="303" spans="1:29" hidden="1" outlineLevel="1">
      <c r="A303" s="971" t="s">
        <v>12</v>
      </c>
      <c r="B303" s="1043">
        <f>'Gruppe B'!BQ23</f>
        <v>0</v>
      </c>
      <c r="C303" s="1082">
        <f>'Gruppe B'!L151</f>
        <v>0.5</v>
      </c>
      <c r="D303" s="1083">
        <f>'Gruppe B'!L100</f>
        <v>0.4</v>
      </c>
      <c r="E303" s="1042">
        <f>'Gruppe B'!AS23</f>
        <v>0</v>
      </c>
      <c r="F303" s="1083">
        <f>'Gruppe B'!L69</f>
        <v>0.5</v>
      </c>
      <c r="G303" s="1085">
        <f>'Gruppe B'!AD23</f>
        <v>0.25</v>
      </c>
      <c r="H303" s="1252">
        <f>'Gruppe B'!BE23</f>
        <v>1</v>
      </c>
      <c r="I303" s="1085">
        <f>'Gruppe B'!J124</f>
        <v>0.33333333333333331</v>
      </c>
      <c r="J303" s="1083">
        <f>'Gruppe B'!L46</f>
        <v>1</v>
      </c>
      <c r="K303" s="1253">
        <f>'Gruppe B'!Q23</f>
        <v>1</v>
      </c>
      <c r="L303" s="1083"/>
      <c r="M303" s="1085"/>
      <c r="N303" s="989">
        <f>'Spiel 7 - Viertelfinal'!C50</f>
        <v>0</v>
      </c>
      <c r="O303" s="989">
        <f>'Spiel 7 - Viertelfinal'!X50</f>
        <v>0</v>
      </c>
      <c r="P303" s="989">
        <f>'Spiel 7 - Viertelfinal'!AD50</f>
        <v>0</v>
      </c>
      <c r="Q303" s="1084">
        <f>'Spiel 7 - Viertelfinal'!AW50</f>
        <v>1</v>
      </c>
      <c r="R303" s="1084"/>
      <c r="S303" s="1084"/>
      <c r="T303" s="1084"/>
      <c r="U303" s="1084"/>
      <c r="V303" s="1084"/>
      <c r="W303" s="1084"/>
      <c r="X303" s="1084">
        <f>'Spiel 9 - Final'!J74</f>
        <v>0.4</v>
      </c>
      <c r="Y303" s="1084">
        <f>'Spiel 9 - Final'!O74</f>
        <v>0.5</v>
      </c>
      <c r="Z303" s="989">
        <f>'Spiel 9 - Final'!AI74</f>
        <v>0</v>
      </c>
      <c r="AA303" s="1084"/>
      <c r="AB303" s="1086"/>
      <c r="AC303" s="996">
        <f>AC302/AC301</f>
        <v>0.36170212765957449</v>
      </c>
    </row>
    <row r="304" spans="1:29" hidden="1" outlineLevel="1">
      <c r="A304" s="971" t="s">
        <v>5</v>
      </c>
      <c r="B304" s="1045">
        <f>'Gruppe B'!BQ24</f>
        <v>7.333333333333333</v>
      </c>
      <c r="C304" s="1088">
        <f>'Gruppe B'!L152</f>
        <v>0.5</v>
      </c>
      <c r="D304" s="1047">
        <f>'Gruppe B'!L101</f>
        <v>-7.6</v>
      </c>
      <c r="E304" s="1050">
        <f>'Gruppe B'!AS24</f>
        <v>8</v>
      </c>
      <c r="F304" s="1124">
        <f>'Gruppe B'!L70</f>
        <v>1.5</v>
      </c>
      <c r="G304" s="1049">
        <f>'Gruppe B'!AD24</f>
        <v>-2.25</v>
      </c>
      <c r="H304" s="1047">
        <f>'Gruppe B'!BE24</f>
        <v>0</v>
      </c>
      <c r="I304" s="1048">
        <f>'Gruppe B'!J125</f>
        <v>6.666666666666667</v>
      </c>
      <c r="J304" s="1045">
        <f>'Gruppe B'!L47</f>
        <v>0</v>
      </c>
      <c r="K304" s="1046">
        <f>'Gruppe B'!Q24</f>
        <v>0</v>
      </c>
      <c r="L304" s="1047"/>
      <c r="M304" s="1050"/>
      <c r="N304" s="1088">
        <f>'Spiel 7 - Viertelfinal'!C51</f>
        <v>4.333333333333333</v>
      </c>
      <c r="O304" s="1088">
        <f>'Spiel 7 - Viertelfinal'!X51</f>
        <v>8</v>
      </c>
      <c r="P304" s="1088">
        <f>'Spiel 7 - Viertelfinal'!AD51</f>
        <v>8.3333333333333339</v>
      </c>
      <c r="Q304" s="1088">
        <f>'Spiel 7 - Viertelfinal'!AW51</f>
        <v>0</v>
      </c>
      <c r="R304" s="1088"/>
      <c r="S304" s="1088"/>
      <c r="T304" s="1088"/>
      <c r="U304" s="1088"/>
      <c r="V304" s="1088"/>
      <c r="W304" s="1088"/>
      <c r="X304" s="1088">
        <f>'Spiel 9 - Final'!J75</f>
        <v>4</v>
      </c>
      <c r="Y304" s="1088">
        <f>'Spiel 9 - Final'!O75</f>
        <v>6</v>
      </c>
      <c r="Z304" s="1088">
        <f>'Spiel 9 - Final'!AI75</f>
        <v>-4.333333333333333</v>
      </c>
      <c r="AA304" s="1088"/>
      <c r="AB304" s="1049"/>
      <c r="AC304" s="1002">
        <f>AC300/AC301</f>
        <v>1.8723404255319149</v>
      </c>
    </row>
    <row r="305" spans="1:29" hidden="1" outlineLevel="1">
      <c r="A305" s="1003" t="s">
        <v>8</v>
      </c>
      <c r="B305" s="1053">
        <f>'Gruppe B'!BQ25</f>
        <v>7.333333333333333</v>
      </c>
      <c r="C305" s="1091">
        <f>'Gruppe B'!L153</f>
        <v>1</v>
      </c>
      <c r="D305" s="1055">
        <f>'Gruppe B'!L102</f>
        <v>-12.666666666666666</v>
      </c>
      <c r="E305" s="1058">
        <f>'Gruppe B'!AS25</f>
        <v>8</v>
      </c>
      <c r="F305" s="1091">
        <f>'Gruppe B'!L71</f>
        <v>3</v>
      </c>
      <c r="G305" s="1057">
        <f>'Gruppe B'!AD25</f>
        <v>-3</v>
      </c>
      <c r="H305" s="1055">
        <f>'Gruppe B'!BE25</f>
        <v>0</v>
      </c>
      <c r="I305" s="1056">
        <f>'Gruppe B'!J126</f>
        <v>10</v>
      </c>
      <c r="J305" s="1053">
        <f>'Gruppe B'!L48</f>
        <v>0</v>
      </c>
      <c r="K305" s="1054">
        <f>'Gruppe B'!Q25</f>
        <v>0</v>
      </c>
      <c r="L305" s="1055"/>
      <c r="M305" s="1058"/>
      <c r="N305" s="1091">
        <f>'Spiel 7 - Viertelfinal'!C52</f>
        <v>4.333333333333333</v>
      </c>
      <c r="O305" s="1091">
        <f>'Spiel 7 - Viertelfinal'!X52</f>
        <v>8</v>
      </c>
      <c r="P305" s="1091">
        <f>'Spiel 7 - Viertelfinal'!AD52</f>
        <v>8.3333333333333339</v>
      </c>
      <c r="Q305" s="1091">
        <f>'Spiel 7 - Viertelfinal'!AW52</f>
        <v>0</v>
      </c>
      <c r="R305" s="1091"/>
      <c r="S305" s="1091"/>
      <c r="T305" s="1091"/>
      <c r="U305" s="1091"/>
      <c r="V305" s="1091"/>
      <c r="W305" s="1091"/>
      <c r="X305" s="1091">
        <f>'Spiel 9 - Final'!J76</f>
        <v>6.666666666666667</v>
      </c>
      <c r="Y305" s="1091">
        <f>'Spiel 9 - Final'!O76</f>
        <v>12</v>
      </c>
      <c r="Z305" s="1091">
        <f>'Spiel 9 - Final'!AI76</f>
        <v>-4.333333333333333</v>
      </c>
      <c r="AA305" s="1091"/>
      <c r="AB305" s="1057"/>
      <c r="AC305" s="1007">
        <f>AC300/(AC301-AC302)</f>
        <v>2.9333333333333331</v>
      </c>
    </row>
    <row r="306" spans="1:29" ht="3" hidden="1" customHeight="1" outlineLevel="1">
      <c r="B306" s="582"/>
      <c r="C306" s="582"/>
      <c r="D306" s="582"/>
      <c r="E306" s="582"/>
      <c r="F306" s="582"/>
      <c r="G306" s="582"/>
      <c r="H306" s="582"/>
      <c r="I306" s="582"/>
      <c r="J306" s="582"/>
      <c r="K306" s="582"/>
      <c r="L306" s="582"/>
      <c r="M306" s="1025"/>
      <c r="N306" s="582"/>
      <c r="O306" s="582"/>
      <c r="P306" s="582"/>
      <c r="Q306" s="582"/>
      <c r="R306" s="582"/>
      <c r="S306" s="582"/>
      <c r="T306" s="582"/>
      <c r="U306" s="582"/>
      <c r="V306" s="582"/>
      <c r="W306" s="582"/>
      <c r="X306" s="582"/>
      <c r="Y306" s="582"/>
      <c r="Z306" s="582"/>
      <c r="AA306" s="582"/>
      <c r="AB306" s="582"/>
    </row>
    <row r="307" spans="1:29" hidden="1" outlineLevel="1">
      <c r="A307" s="1178" t="s">
        <v>133</v>
      </c>
      <c r="B307" s="1021"/>
      <c r="C307" s="1022"/>
      <c r="D307" s="1021"/>
      <c r="E307" s="1023"/>
      <c r="F307" s="1022"/>
      <c r="G307" s="1023"/>
      <c r="H307" s="1021"/>
      <c r="I307" s="1023"/>
      <c r="J307" s="1021"/>
      <c r="K307" s="1023"/>
      <c r="L307" s="1021"/>
      <c r="M307" s="1023"/>
      <c r="N307" s="1022"/>
      <c r="O307" s="1022"/>
      <c r="P307" s="1022"/>
      <c r="Q307" s="1022"/>
      <c r="R307" s="1022"/>
      <c r="S307" s="1022"/>
      <c r="T307" s="1022"/>
      <c r="U307" s="1022"/>
      <c r="V307" s="1022"/>
      <c r="W307" s="1022"/>
      <c r="X307" s="1022"/>
      <c r="Y307" s="1022"/>
      <c r="Z307" s="1022"/>
      <c r="AA307" s="1022"/>
      <c r="AB307" s="1023"/>
      <c r="AC307" s="1178"/>
    </row>
    <row r="308" spans="1:29" hidden="1" outlineLevel="1">
      <c r="A308" s="971" t="s">
        <v>3</v>
      </c>
      <c r="B308" s="1027">
        <f>'Gruppe B'!BR20</f>
        <v>14</v>
      </c>
      <c r="C308" s="113">
        <f>'Gruppe B'!M148</f>
        <v>10</v>
      </c>
      <c r="D308" s="1028">
        <f>'Gruppe B'!M97</f>
        <v>11</v>
      </c>
      <c r="E308" s="1029">
        <f>'Gruppe B'!AP20</f>
        <v>15</v>
      </c>
      <c r="F308" s="113">
        <f>'Gruppe B'!M66</f>
        <v>11</v>
      </c>
      <c r="G308" s="1031">
        <f>'Gruppe B'!AE20</f>
        <v>13</v>
      </c>
      <c r="H308" s="1027">
        <f>'Gruppe B'!BF20</f>
        <v>0</v>
      </c>
      <c r="I308" s="1029">
        <f>'Gruppe B'!K121</f>
        <v>17</v>
      </c>
      <c r="J308" s="1028">
        <f>'Gruppe B'!M43</f>
        <v>16</v>
      </c>
      <c r="K308" s="1079">
        <f>'Gruppe B'!R20</f>
        <v>14</v>
      </c>
      <c r="L308" s="1027"/>
      <c r="M308" s="1031"/>
      <c r="N308" s="1079">
        <f>'Spiel 7 - Viertelfinal'!D47</f>
        <v>-11</v>
      </c>
      <c r="O308" s="1079">
        <f>'Spiel 7 - Viertelfinal'!Y47</f>
        <v>12</v>
      </c>
      <c r="P308" s="1079">
        <f>'Spiel 7 - Viertelfinal'!AE47</f>
        <v>27</v>
      </c>
      <c r="Q308" s="1079">
        <f>'Spiel 7 - Viertelfinal'!AX47</f>
        <v>7</v>
      </c>
      <c r="R308" s="1079"/>
      <c r="S308" s="1079"/>
      <c r="T308" s="1079"/>
      <c r="U308" s="1079"/>
      <c r="V308" s="1079"/>
      <c r="W308" s="1079"/>
      <c r="X308" s="1079">
        <f>'Spiel 9 - Final'!K71</f>
        <v>-7</v>
      </c>
      <c r="Y308" s="1079">
        <f>'Spiel 9 - Final'!P71</f>
        <v>6</v>
      </c>
      <c r="Z308" s="1079">
        <f>'Spiel 9 - Final'!AJ71</f>
        <v>17</v>
      </c>
      <c r="AA308" s="1079"/>
      <c r="AB308" s="1030"/>
      <c r="AC308" s="979">
        <f>SUM(B308:AB308)</f>
        <v>172</v>
      </c>
    </row>
    <row r="309" spans="1:29" hidden="1" outlineLevel="1">
      <c r="A309" s="971" t="s">
        <v>4</v>
      </c>
      <c r="B309" s="1028">
        <f>'Gruppe B'!BR21</f>
        <v>3</v>
      </c>
      <c r="C309" s="1079">
        <f>'Gruppe B'!M149</f>
        <v>2</v>
      </c>
      <c r="D309" s="1028">
        <f>'Gruppe B'!M98</f>
        <v>4</v>
      </c>
      <c r="E309" s="1031">
        <f>'Gruppe B'!AP21</f>
        <v>3</v>
      </c>
      <c r="F309" s="1079">
        <f>'Gruppe B'!M67</f>
        <v>2</v>
      </c>
      <c r="G309" s="1030">
        <f>'Gruppe B'!AE21</f>
        <v>3</v>
      </c>
      <c r="H309" s="1028">
        <f>'Gruppe B'!BF21</f>
        <v>2</v>
      </c>
      <c r="I309" s="1029">
        <f>'Gruppe B'!K122</f>
        <v>3</v>
      </c>
      <c r="J309" s="1027">
        <f>'Gruppe B'!M44</f>
        <v>2</v>
      </c>
      <c r="K309" s="113">
        <f>'Gruppe B'!R21</f>
        <v>2</v>
      </c>
      <c r="L309" s="1028"/>
      <c r="M309" s="1031"/>
      <c r="N309" s="1079">
        <f>'Spiel 7 - Viertelfinal'!D48</f>
        <v>3</v>
      </c>
      <c r="O309" s="1079">
        <f>'Spiel 7 - Viertelfinal'!Y48</f>
        <v>2</v>
      </c>
      <c r="P309" s="1079">
        <f>'Spiel 7 - Viertelfinal'!AE48</f>
        <v>3</v>
      </c>
      <c r="Q309" s="1079">
        <f>'Spiel 7 - Viertelfinal'!AX48</f>
        <v>2</v>
      </c>
      <c r="R309" s="1079"/>
      <c r="S309" s="1079"/>
      <c r="T309" s="1079"/>
      <c r="U309" s="1079"/>
      <c r="V309" s="1079"/>
      <c r="W309" s="1079"/>
      <c r="X309" s="1079">
        <f>'Spiel 9 - Final'!K72</f>
        <v>5</v>
      </c>
      <c r="Y309" s="1079">
        <f>'Spiel 9 - Final'!P72</f>
        <v>2</v>
      </c>
      <c r="Z309" s="1079">
        <f>'Spiel 9 - Final'!AJ72</f>
        <v>2</v>
      </c>
      <c r="AA309" s="1079"/>
      <c r="AB309" s="1030"/>
      <c r="AC309" s="985">
        <f>SUM(B309:AB309)</f>
        <v>45</v>
      </c>
    </row>
    <row r="310" spans="1:29" hidden="1" outlineLevel="1">
      <c r="A310" s="971" t="s">
        <v>6</v>
      </c>
      <c r="B310" s="972">
        <f>'Gruppe B'!BR22</f>
        <v>0</v>
      </c>
      <c r="C310" s="973">
        <f>'Gruppe B'!M150</f>
        <v>0</v>
      </c>
      <c r="D310" s="1250">
        <f>'Gruppe B'!M99</f>
        <v>2</v>
      </c>
      <c r="E310" s="1029">
        <f>'Gruppe B'!AP22</f>
        <v>1</v>
      </c>
      <c r="F310" s="972">
        <f>'Gruppe B'!M68</f>
        <v>0</v>
      </c>
      <c r="G310" s="978">
        <f>'Gruppe B'!AE22</f>
        <v>0</v>
      </c>
      <c r="H310" s="1250">
        <f>'Gruppe B'!BF22</f>
        <v>2</v>
      </c>
      <c r="I310" s="1254">
        <f>'Gruppe B'!K123</f>
        <v>1</v>
      </c>
      <c r="J310" s="972">
        <f>'Gruppe B'!M45</f>
        <v>0</v>
      </c>
      <c r="K310" s="973">
        <f>'Gruppe B'!R22</f>
        <v>0</v>
      </c>
      <c r="L310" s="1028"/>
      <c r="M310" s="1029"/>
      <c r="N310" s="973">
        <f>'Spiel 7 - Viertelfinal'!D49</f>
        <v>0</v>
      </c>
      <c r="O310" s="973">
        <f>'Spiel 7 - Viertelfinal'!Y49</f>
        <v>0</v>
      </c>
      <c r="P310" s="973">
        <f>'Spiel 7 - Viertelfinal'!AE49</f>
        <v>0</v>
      </c>
      <c r="Q310" s="973">
        <f>'Spiel 7 - Viertelfinal'!AX49</f>
        <v>0</v>
      </c>
      <c r="R310" s="113"/>
      <c r="S310" s="113"/>
      <c r="T310" s="113"/>
      <c r="U310" s="113"/>
      <c r="V310" s="113"/>
      <c r="W310" s="113"/>
      <c r="X310" s="113">
        <f>'Spiel 9 - Final'!K73</f>
        <v>1</v>
      </c>
      <c r="Y310" s="113">
        <f>'Spiel 9 - Final'!P73</f>
        <v>1</v>
      </c>
      <c r="Z310" s="973">
        <f>'Spiel 9 - Final'!AJ73</f>
        <v>0</v>
      </c>
      <c r="AA310" s="113"/>
      <c r="AB310" s="1030"/>
      <c r="AC310" s="987">
        <f>SUM(B310:AB310)</f>
        <v>8</v>
      </c>
    </row>
    <row r="311" spans="1:29" hidden="1" outlineLevel="1">
      <c r="A311" s="971" t="s">
        <v>12</v>
      </c>
      <c r="B311" s="1043">
        <f>'Gruppe B'!BR23</f>
        <v>0</v>
      </c>
      <c r="C311" s="989">
        <f>'Gruppe B'!M151</f>
        <v>0</v>
      </c>
      <c r="D311" s="1252">
        <f>'Gruppe B'!M100</f>
        <v>0.5</v>
      </c>
      <c r="E311" s="1085">
        <f>'Gruppe B'!AP23</f>
        <v>0.33333333333333331</v>
      </c>
      <c r="F311" s="1043">
        <f>'Gruppe B'!M69</f>
        <v>0</v>
      </c>
      <c r="G311" s="1042">
        <f>'Gruppe B'!AE23</f>
        <v>0</v>
      </c>
      <c r="H311" s="1252">
        <f>'Gruppe B'!BF23</f>
        <v>1</v>
      </c>
      <c r="I311" s="1255">
        <f>'Gruppe B'!K124</f>
        <v>0.33333333333333331</v>
      </c>
      <c r="J311" s="1043">
        <f>'Gruppe B'!M46</f>
        <v>0</v>
      </c>
      <c r="K311" s="989">
        <f>'Gruppe B'!R23</f>
        <v>0</v>
      </c>
      <c r="L311" s="1083"/>
      <c r="M311" s="1085"/>
      <c r="N311" s="989">
        <f>'Spiel 7 - Viertelfinal'!D50</f>
        <v>0</v>
      </c>
      <c r="O311" s="989">
        <f>'Spiel 7 - Viertelfinal'!Y50</f>
        <v>0</v>
      </c>
      <c r="P311" s="989">
        <f>'Spiel 7 - Viertelfinal'!AE50</f>
        <v>0</v>
      </c>
      <c r="Q311" s="989">
        <f>'Spiel 7 - Viertelfinal'!AX50</f>
        <v>0</v>
      </c>
      <c r="R311" s="1084"/>
      <c r="S311" s="1084"/>
      <c r="T311" s="1084"/>
      <c r="U311" s="1084"/>
      <c r="V311" s="1084"/>
      <c r="W311" s="1084"/>
      <c r="X311" s="1084">
        <f>'Spiel 9 - Final'!K74</f>
        <v>0.2</v>
      </c>
      <c r="Y311" s="1084">
        <f>'Spiel 9 - Final'!P74</f>
        <v>0.5</v>
      </c>
      <c r="Z311" s="989">
        <f>'Spiel 9 - Final'!AJ74</f>
        <v>0</v>
      </c>
      <c r="AA311" s="1084"/>
      <c r="AB311" s="1086"/>
      <c r="AC311" s="996">
        <f>AC310/AC309</f>
        <v>0.17777777777777778</v>
      </c>
    </row>
    <row r="312" spans="1:29" hidden="1" outlineLevel="1">
      <c r="A312" s="971" t="s">
        <v>5</v>
      </c>
      <c r="B312" s="1045">
        <f>'Gruppe B'!BR24</f>
        <v>4.666666666666667</v>
      </c>
      <c r="C312" s="1088">
        <f>'Gruppe B'!M152</f>
        <v>5</v>
      </c>
      <c r="D312" s="1047">
        <f>'Gruppe B'!M101</f>
        <v>2.75</v>
      </c>
      <c r="E312" s="1050">
        <f>'Gruppe B'!AP24</f>
        <v>5</v>
      </c>
      <c r="F312" s="1124">
        <f>'Gruppe B'!M70</f>
        <v>5.5</v>
      </c>
      <c r="G312" s="1049">
        <f>'Gruppe B'!AE24</f>
        <v>4.333333333333333</v>
      </c>
      <c r="H312" s="1047">
        <f>'Gruppe B'!BF24</f>
        <v>0</v>
      </c>
      <c r="I312" s="1048">
        <f>'Gruppe B'!K125</f>
        <v>5.666666666666667</v>
      </c>
      <c r="J312" s="1045">
        <f>'Gruppe B'!M47</f>
        <v>8</v>
      </c>
      <c r="K312" s="1046">
        <f>'Gruppe B'!R24</f>
        <v>7</v>
      </c>
      <c r="L312" s="1047"/>
      <c r="M312" s="1050"/>
      <c r="N312" s="1088">
        <f>'Spiel 7 - Viertelfinal'!D51</f>
        <v>-3.6666666666666665</v>
      </c>
      <c r="O312" s="1088">
        <f>'Spiel 7 - Viertelfinal'!Y51</f>
        <v>6</v>
      </c>
      <c r="P312" s="1088">
        <f>'Spiel 7 - Viertelfinal'!AE51</f>
        <v>9</v>
      </c>
      <c r="Q312" s="1088">
        <f>'Spiel 7 - Viertelfinal'!AX51</f>
        <v>3.5</v>
      </c>
      <c r="R312" s="1088"/>
      <c r="S312" s="1088"/>
      <c r="T312" s="1088"/>
      <c r="U312" s="1088"/>
      <c r="V312" s="1088"/>
      <c r="W312" s="1088"/>
      <c r="X312" s="1088">
        <f>'Spiel 9 - Final'!K75</f>
        <v>-1.4</v>
      </c>
      <c r="Y312" s="1088">
        <f>'Spiel 9 - Final'!P75</f>
        <v>3</v>
      </c>
      <c r="Z312" s="1088">
        <f>'Spiel 9 - Final'!AJ75</f>
        <v>8.5</v>
      </c>
      <c r="AA312" s="1088"/>
      <c r="AB312" s="1049"/>
      <c r="AC312" s="1002">
        <f>AC308/AC309</f>
        <v>3.8222222222222224</v>
      </c>
    </row>
    <row r="313" spans="1:29" hidden="1" outlineLevel="1">
      <c r="A313" s="1003" t="s">
        <v>8</v>
      </c>
      <c r="B313" s="1053">
        <f>'Gruppe B'!BR25</f>
        <v>4.666666666666667</v>
      </c>
      <c r="C313" s="1091">
        <f>'Gruppe B'!M153</f>
        <v>5</v>
      </c>
      <c r="D313" s="1055">
        <f>'Gruppe B'!M102</f>
        <v>5.5</v>
      </c>
      <c r="E313" s="1058">
        <f>'Gruppe B'!AP25</f>
        <v>7.5</v>
      </c>
      <c r="F313" s="1091">
        <f>'Gruppe B'!M71</f>
        <v>5.5</v>
      </c>
      <c r="G313" s="1057">
        <f>'Gruppe B'!AE25</f>
        <v>4.333333333333333</v>
      </c>
      <c r="H313" s="1055">
        <f>'Gruppe B'!BF25</f>
        <v>0</v>
      </c>
      <c r="I313" s="1056">
        <f>'Gruppe B'!K126</f>
        <v>8.5</v>
      </c>
      <c r="J313" s="1053">
        <f>'Gruppe B'!M48</f>
        <v>8</v>
      </c>
      <c r="K313" s="1054">
        <f>'Gruppe B'!R25</f>
        <v>7</v>
      </c>
      <c r="L313" s="1055"/>
      <c r="M313" s="1058"/>
      <c r="N313" s="1091">
        <f>'Spiel 7 - Viertelfinal'!D52</f>
        <v>-3.6666666666666665</v>
      </c>
      <c r="O313" s="1091">
        <f>'Spiel 7 - Viertelfinal'!Y52</f>
        <v>6</v>
      </c>
      <c r="P313" s="1091">
        <f>'Spiel 7 - Viertelfinal'!AE52</f>
        <v>9</v>
      </c>
      <c r="Q313" s="1091">
        <f>'Spiel 7 - Viertelfinal'!AX52</f>
        <v>3.5</v>
      </c>
      <c r="R313" s="1091"/>
      <c r="S313" s="1091"/>
      <c r="T313" s="1091"/>
      <c r="U313" s="1091"/>
      <c r="V313" s="1091"/>
      <c r="W313" s="1091"/>
      <c r="X313" s="1091">
        <f>'Spiel 9 - Final'!K76</f>
        <v>-1.75</v>
      </c>
      <c r="Y313" s="1091">
        <f>'Spiel 9 - Final'!P76</f>
        <v>6</v>
      </c>
      <c r="Z313" s="1091">
        <f>'Spiel 9 - Final'!AJ76</f>
        <v>8.5</v>
      </c>
      <c r="AA313" s="1091"/>
      <c r="AB313" s="1057"/>
      <c r="AC313" s="1007">
        <f>AC308/(AC309-AC310)</f>
        <v>4.6486486486486482</v>
      </c>
    </row>
    <row r="314" spans="1:29" ht="3" hidden="1" customHeight="1" outlineLevel="1">
      <c r="B314" s="582"/>
      <c r="C314" s="582"/>
      <c r="D314" s="582"/>
      <c r="E314" s="582"/>
      <c r="F314" s="582"/>
      <c r="G314" s="582"/>
      <c r="H314" s="582"/>
      <c r="I314" s="582"/>
      <c r="J314" s="582"/>
      <c r="K314" s="582"/>
      <c r="L314" s="582"/>
      <c r="M314" s="1025"/>
      <c r="N314" s="582"/>
      <c r="O314" s="582"/>
      <c r="P314" s="582"/>
      <c r="Q314" s="582"/>
      <c r="R314" s="582"/>
      <c r="S314" s="582"/>
      <c r="T314" s="582"/>
      <c r="U314" s="582"/>
      <c r="V314" s="582"/>
      <c r="W314" s="582"/>
      <c r="X314" s="582"/>
      <c r="Y314" s="582"/>
      <c r="Z314" s="582"/>
      <c r="AA314" s="582"/>
      <c r="AB314" s="582"/>
    </row>
    <row r="315" spans="1:29" hidden="1" outlineLevel="1">
      <c r="A315" s="1178" t="s">
        <v>134</v>
      </c>
      <c r="B315" s="1021"/>
      <c r="C315" s="1022"/>
      <c r="D315" s="1021"/>
      <c r="E315" s="1023"/>
      <c r="F315" s="1022"/>
      <c r="G315" s="1023"/>
      <c r="H315" s="1021"/>
      <c r="I315" s="1023"/>
      <c r="J315" s="1021"/>
      <c r="K315" s="1023"/>
      <c r="L315" s="1021"/>
      <c r="M315" s="1023"/>
      <c r="N315" s="1022"/>
      <c r="O315" s="1022"/>
      <c r="P315" s="1022"/>
      <c r="Q315" s="1022"/>
      <c r="R315" s="1022"/>
      <c r="S315" s="1022"/>
      <c r="T315" s="1022"/>
      <c r="U315" s="1022"/>
      <c r="V315" s="1022"/>
      <c r="W315" s="1022"/>
      <c r="X315" s="1022"/>
      <c r="Y315" s="1022"/>
      <c r="Z315" s="1022"/>
      <c r="AA315" s="1022"/>
      <c r="AB315" s="1023"/>
      <c r="AC315" s="1178"/>
    </row>
    <row r="316" spans="1:29" hidden="1" outlineLevel="1">
      <c r="A316" s="971" t="s">
        <v>3</v>
      </c>
      <c r="B316" s="1027">
        <f>'Gruppe B'!BS20</f>
        <v>6</v>
      </c>
      <c r="C316" s="113">
        <f>'Gruppe B'!J148</f>
        <v>22</v>
      </c>
      <c r="D316" s="1028">
        <f>'Gruppe B'!J97</f>
        <v>25</v>
      </c>
      <c r="E316" s="1029">
        <f>'Gruppe B'!AQ20</f>
        <v>10</v>
      </c>
      <c r="F316" s="113">
        <f>'Gruppe B'!J66</f>
        <v>26</v>
      </c>
      <c r="G316" s="1031">
        <f>'Gruppe B'!AF20</f>
        <v>17</v>
      </c>
      <c r="H316" s="1027">
        <f>'Gruppe B'!BC20</f>
        <v>10</v>
      </c>
      <c r="I316" s="1029">
        <f>'Gruppe B'!L121</f>
        <v>9</v>
      </c>
      <c r="J316" s="1028">
        <f>'Gruppe B'!J43</f>
        <v>20</v>
      </c>
      <c r="K316" s="1079">
        <f>'Gruppe B'!S20</f>
        <v>16</v>
      </c>
      <c r="L316" s="1027"/>
      <c r="M316" s="1031"/>
      <c r="N316" s="1079">
        <f>'Spiel 7 - Viertelfinal'!E47</f>
        <v>21</v>
      </c>
      <c r="O316" s="1079">
        <f>'Spiel 7 - Viertelfinal'!V47</f>
        <v>9</v>
      </c>
      <c r="P316" s="1079">
        <f>'Spiel 7 - Viertelfinal'!AB47</f>
        <v>-10</v>
      </c>
      <c r="Q316" s="1079">
        <f>'Spiel 7 - Viertelfinal'!AY47</f>
        <v>2</v>
      </c>
      <c r="R316" s="1079"/>
      <c r="S316" s="1079"/>
      <c r="T316" s="1079"/>
      <c r="U316" s="1079"/>
      <c r="V316" s="1079"/>
      <c r="W316" s="1079"/>
      <c r="X316" s="1079">
        <f>'Spiel 9 - Final'!L71</f>
        <v>15</v>
      </c>
      <c r="Y316" s="1079">
        <f>'Spiel 9 - Final'!Q71</f>
        <v>16</v>
      </c>
      <c r="Z316" s="1079">
        <f>'Spiel 9 - Final'!AK71</f>
        <v>12</v>
      </c>
      <c r="AA316" s="1079"/>
      <c r="AB316" s="1030"/>
      <c r="AC316" s="979">
        <f>SUM(B316:AB316)</f>
        <v>226</v>
      </c>
    </row>
    <row r="317" spans="1:29" hidden="1" outlineLevel="1">
      <c r="A317" s="971" t="s">
        <v>4</v>
      </c>
      <c r="B317" s="1028">
        <f>'Gruppe B'!BS21</f>
        <v>2</v>
      </c>
      <c r="C317" s="1079">
        <f>'Gruppe B'!J149</f>
        <v>2</v>
      </c>
      <c r="D317" s="1028">
        <f>'Gruppe B'!J98</f>
        <v>5</v>
      </c>
      <c r="E317" s="1031">
        <f>'Gruppe B'!AQ21</f>
        <v>2</v>
      </c>
      <c r="F317" s="1079">
        <f>'Gruppe B'!J67</f>
        <v>3</v>
      </c>
      <c r="G317" s="1030">
        <f>'Gruppe B'!AF21</f>
        <v>3</v>
      </c>
      <c r="H317" s="1028">
        <f>'Gruppe B'!BC21</f>
        <v>3</v>
      </c>
      <c r="I317" s="1029">
        <f>'Gruppe B'!L122</f>
        <v>2</v>
      </c>
      <c r="J317" s="1027">
        <f>'Gruppe B'!J44</f>
        <v>3</v>
      </c>
      <c r="K317" s="113">
        <f>'Gruppe B'!S21</f>
        <v>2</v>
      </c>
      <c r="L317" s="1028"/>
      <c r="M317" s="1031"/>
      <c r="N317" s="1079">
        <f>'Spiel 7 - Viertelfinal'!E48</f>
        <v>2</v>
      </c>
      <c r="O317" s="1079">
        <f>'Spiel 7 - Viertelfinal'!V48</f>
        <v>2</v>
      </c>
      <c r="P317" s="1079">
        <f>'Spiel 7 - Viertelfinal'!AB48</f>
        <v>4</v>
      </c>
      <c r="Q317" s="1079">
        <f>'Spiel 7 - Viertelfinal'!AY48</f>
        <v>2</v>
      </c>
      <c r="R317" s="1079"/>
      <c r="S317" s="1079"/>
      <c r="T317" s="1079"/>
      <c r="U317" s="1079"/>
      <c r="V317" s="1079"/>
      <c r="W317" s="1079"/>
      <c r="X317" s="1079">
        <f>'Spiel 9 - Final'!L72</f>
        <v>5</v>
      </c>
      <c r="Y317" s="1079">
        <f>'Spiel 9 - Final'!Q72</f>
        <v>2</v>
      </c>
      <c r="Z317" s="1079">
        <f>'Spiel 9 - Final'!AK72</f>
        <v>2</v>
      </c>
      <c r="AA317" s="1079"/>
      <c r="AB317" s="1030"/>
      <c r="AC317" s="985">
        <f>SUM(B317:AB317)</f>
        <v>46</v>
      </c>
    </row>
    <row r="318" spans="1:29" hidden="1" outlineLevel="1">
      <c r="A318" s="971" t="s">
        <v>6</v>
      </c>
      <c r="B318" s="1028">
        <f>'Gruppe B'!BS22</f>
        <v>1</v>
      </c>
      <c r="C318" s="973">
        <f>'Gruppe B'!J150</f>
        <v>0</v>
      </c>
      <c r="D318" s="1250">
        <f>'Gruppe B'!J99</f>
        <v>1</v>
      </c>
      <c r="E318" s="978">
        <f>'Gruppe B'!AQ22</f>
        <v>0</v>
      </c>
      <c r="F318" s="972">
        <f>'Gruppe B'!J68</f>
        <v>0</v>
      </c>
      <c r="G318" s="1029">
        <f>'Gruppe B'!AF22</f>
        <v>1</v>
      </c>
      <c r="H318" s="1250">
        <f>'Gruppe B'!BC22</f>
        <v>1</v>
      </c>
      <c r="I318" s="978">
        <f>'Gruppe B'!L123</f>
        <v>0</v>
      </c>
      <c r="J318" s="972">
        <f>'Gruppe B'!J45</f>
        <v>0</v>
      </c>
      <c r="K318" s="973">
        <f>'Gruppe B'!S22</f>
        <v>0</v>
      </c>
      <c r="L318" s="1028"/>
      <c r="M318" s="1029"/>
      <c r="N318" s="973">
        <f>'Spiel 7 - Viertelfinal'!E49</f>
        <v>0</v>
      </c>
      <c r="O318" s="973">
        <f>'Spiel 7 - Viertelfinal'!V49</f>
        <v>0</v>
      </c>
      <c r="P318" s="113">
        <f>'Spiel 7 - Viertelfinal'!AB49</f>
        <v>1</v>
      </c>
      <c r="Q318" s="113">
        <f>'Spiel 7 - Viertelfinal'!AY49</f>
        <v>1</v>
      </c>
      <c r="R318" s="113"/>
      <c r="S318" s="113"/>
      <c r="T318" s="113"/>
      <c r="U318" s="113"/>
      <c r="V318" s="113"/>
      <c r="W318" s="113"/>
      <c r="X318" s="973">
        <f>'Spiel 9 - Final'!L73</f>
        <v>0</v>
      </c>
      <c r="Y318" s="973">
        <f>'Spiel 9 - Final'!Q73</f>
        <v>0</v>
      </c>
      <c r="Z318" s="973">
        <f>'Spiel 9 - Final'!AK73</f>
        <v>0</v>
      </c>
      <c r="AA318" s="113"/>
      <c r="AB318" s="1030"/>
      <c r="AC318" s="987">
        <f>SUM(B318:AB318)</f>
        <v>6</v>
      </c>
    </row>
    <row r="319" spans="1:29" hidden="1" outlineLevel="1">
      <c r="A319" s="971" t="s">
        <v>12</v>
      </c>
      <c r="B319" s="1083">
        <f>'Gruppe B'!BS23</f>
        <v>0.5</v>
      </c>
      <c r="C319" s="989">
        <f>'Gruppe B'!J151</f>
        <v>0</v>
      </c>
      <c r="D319" s="1252">
        <f>'Gruppe B'!J100</f>
        <v>0.2</v>
      </c>
      <c r="E319" s="1042">
        <f>'Gruppe B'!AQ23</f>
        <v>0</v>
      </c>
      <c r="F319" s="1043">
        <f>'Gruppe B'!J69</f>
        <v>0</v>
      </c>
      <c r="G319" s="1085">
        <f>'Gruppe B'!AF23</f>
        <v>0.33333333333333331</v>
      </c>
      <c r="H319" s="1252">
        <f>'Gruppe B'!BC23</f>
        <v>0.33333333333333331</v>
      </c>
      <c r="I319" s="1042">
        <f>'Gruppe B'!L124</f>
        <v>0</v>
      </c>
      <c r="J319" s="1043">
        <f>'Gruppe B'!J46</f>
        <v>0</v>
      </c>
      <c r="K319" s="989">
        <f>'Gruppe B'!S23</f>
        <v>0</v>
      </c>
      <c r="L319" s="1083"/>
      <c r="M319" s="1085"/>
      <c r="N319" s="989">
        <f>'Spiel 7 - Viertelfinal'!E50</f>
        <v>0</v>
      </c>
      <c r="O319" s="989">
        <f>'Spiel 7 - Viertelfinal'!V50</f>
        <v>0</v>
      </c>
      <c r="P319" s="1084">
        <f>'Spiel 7 - Viertelfinal'!AB50</f>
        <v>0.25</v>
      </c>
      <c r="Q319" s="1084">
        <f>'Spiel 7 - Viertelfinal'!AY50</f>
        <v>0.5</v>
      </c>
      <c r="R319" s="1084"/>
      <c r="S319" s="1084"/>
      <c r="T319" s="1084"/>
      <c r="U319" s="1084"/>
      <c r="V319" s="1084"/>
      <c r="W319" s="1084"/>
      <c r="X319" s="989">
        <f>'Spiel 9 - Final'!L74</f>
        <v>0</v>
      </c>
      <c r="Y319" s="989">
        <f>'Spiel 9 - Final'!Q74</f>
        <v>0</v>
      </c>
      <c r="Z319" s="989">
        <f>'Spiel 9 - Final'!AK74</f>
        <v>0</v>
      </c>
      <c r="AA319" s="1084"/>
      <c r="AB319" s="1086"/>
      <c r="AC319" s="996">
        <f>AC318/AC317</f>
        <v>0.13043478260869565</v>
      </c>
    </row>
    <row r="320" spans="1:29" hidden="1" outlineLevel="1">
      <c r="A320" s="971" t="s">
        <v>5</v>
      </c>
      <c r="B320" s="1045">
        <f>'Gruppe B'!BS24</f>
        <v>3</v>
      </c>
      <c r="C320" s="1088">
        <f>'Gruppe B'!J152</f>
        <v>11</v>
      </c>
      <c r="D320" s="1047">
        <f>'Gruppe B'!J101</f>
        <v>5</v>
      </c>
      <c r="E320" s="1050">
        <f>'Gruppe B'!AQ24</f>
        <v>5</v>
      </c>
      <c r="F320" s="1124">
        <f>'Gruppe B'!J70</f>
        <v>8.6666666666666661</v>
      </c>
      <c r="G320" s="1049">
        <f>'Gruppe B'!AF24</f>
        <v>5.666666666666667</v>
      </c>
      <c r="H320" s="1047">
        <f>'Gruppe B'!BC24</f>
        <v>3.3333333333333335</v>
      </c>
      <c r="I320" s="1048">
        <f>'Gruppe B'!L125</f>
        <v>4.5</v>
      </c>
      <c r="J320" s="1045">
        <f>'Gruppe B'!J47</f>
        <v>6.666666666666667</v>
      </c>
      <c r="K320" s="1046">
        <f>'Gruppe B'!S24</f>
        <v>8</v>
      </c>
      <c r="L320" s="1047"/>
      <c r="M320" s="1050"/>
      <c r="N320" s="1088">
        <f>'Spiel 7 - Viertelfinal'!E51</f>
        <v>10.5</v>
      </c>
      <c r="O320" s="1088">
        <f>'Spiel 7 - Viertelfinal'!V51</f>
        <v>4.5</v>
      </c>
      <c r="P320" s="1088">
        <f>'Spiel 7 - Viertelfinal'!AB51</f>
        <v>-2.5</v>
      </c>
      <c r="Q320" s="1088">
        <f>'Spiel 7 - Viertelfinal'!AY51</f>
        <v>1</v>
      </c>
      <c r="R320" s="1088"/>
      <c r="S320" s="1088"/>
      <c r="T320" s="1088"/>
      <c r="U320" s="1088"/>
      <c r="V320" s="1088"/>
      <c r="W320" s="1088"/>
      <c r="X320" s="1088">
        <f>'Spiel 9 - Final'!L75</f>
        <v>3</v>
      </c>
      <c r="Y320" s="1088">
        <f>'Spiel 9 - Final'!Q75</f>
        <v>8</v>
      </c>
      <c r="Z320" s="1088">
        <f>'Spiel 9 - Final'!AK75</f>
        <v>6</v>
      </c>
      <c r="AA320" s="1088"/>
      <c r="AB320" s="1049"/>
      <c r="AC320" s="1002">
        <f>AC316/AC317</f>
        <v>4.9130434782608692</v>
      </c>
    </row>
    <row r="321" spans="1:29" hidden="1" outlineLevel="1">
      <c r="A321" s="1003" t="s">
        <v>8</v>
      </c>
      <c r="B321" s="1053">
        <f>'Gruppe B'!BS25</f>
        <v>6</v>
      </c>
      <c r="C321" s="1091">
        <f>'Gruppe B'!J153</f>
        <v>11</v>
      </c>
      <c r="D321" s="1055">
        <f>'Gruppe B'!J102</f>
        <v>6.25</v>
      </c>
      <c r="E321" s="1058">
        <f>'Gruppe B'!AQ25</f>
        <v>5</v>
      </c>
      <c r="F321" s="1091">
        <f>'Gruppe B'!J71</f>
        <v>8.6666666666666661</v>
      </c>
      <c r="G321" s="1057">
        <f>'Gruppe B'!AF25</f>
        <v>8.5</v>
      </c>
      <c r="H321" s="1055">
        <f>'Gruppe B'!BC25</f>
        <v>5</v>
      </c>
      <c r="I321" s="1056">
        <f>'Gruppe B'!L126</f>
        <v>4.5</v>
      </c>
      <c r="J321" s="1053">
        <f>'Gruppe B'!J48</f>
        <v>6.666666666666667</v>
      </c>
      <c r="K321" s="1054">
        <f>'Gruppe B'!S25</f>
        <v>8</v>
      </c>
      <c r="L321" s="1055"/>
      <c r="M321" s="1058"/>
      <c r="N321" s="1091">
        <f>'Spiel 7 - Viertelfinal'!E52</f>
        <v>10.5</v>
      </c>
      <c r="O321" s="1091">
        <f>'Spiel 7 - Viertelfinal'!V52</f>
        <v>4.5</v>
      </c>
      <c r="P321" s="1091">
        <f>'Spiel 7 - Viertelfinal'!AB52</f>
        <v>-3.3333333333333335</v>
      </c>
      <c r="Q321" s="1091">
        <f>'Spiel 7 - Viertelfinal'!AY52</f>
        <v>2</v>
      </c>
      <c r="R321" s="1091"/>
      <c r="S321" s="1091"/>
      <c r="T321" s="1091"/>
      <c r="U321" s="1091"/>
      <c r="V321" s="1091"/>
      <c r="W321" s="1091"/>
      <c r="X321" s="1091">
        <f>'Spiel 9 - Final'!L76</f>
        <v>3</v>
      </c>
      <c r="Y321" s="1091">
        <f>'Spiel 9 - Final'!Q76</f>
        <v>8</v>
      </c>
      <c r="Z321" s="1091">
        <f>'Spiel 9 - Final'!AK76</f>
        <v>6</v>
      </c>
      <c r="AA321" s="1091"/>
      <c r="AB321" s="1057"/>
      <c r="AC321" s="1007">
        <f>AC316/(AC317-AC318)</f>
        <v>5.65</v>
      </c>
    </row>
    <row r="322" spans="1:29" ht="3" hidden="1" customHeight="1" outlineLevel="1">
      <c r="M322" s="1129"/>
    </row>
    <row r="323" spans="1:29" collapsed="1">
      <c r="A323" s="1256" t="s">
        <v>138</v>
      </c>
      <c r="B323" s="1257"/>
      <c r="C323" s="1258"/>
      <c r="D323" s="1258"/>
      <c r="E323" s="1258"/>
      <c r="F323" s="1258"/>
      <c r="G323" s="1258"/>
      <c r="H323" s="1258"/>
      <c r="I323" s="1258"/>
      <c r="J323" s="1258"/>
      <c r="K323" s="1258"/>
      <c r="L323" s="1258"/>
      <c r="M323" s="1258"/>
      <c r="N323" s="1258"/>
      <c r="O323" s="1258"/>
      <c r="P323" s="1258"/>
      <c r="Q323" s="1258"/>
      <c r="R323" s="1258"/>
      <c r="S323" s="1258"/>
      <c r="T323" s="1258"/>
      <c r="U323" s="1258"/>
      <c r="V323" s="1258"/>
      <c r="W323" s="1258"/>
      <c r="X323" s="1258"/>
      <c r="Y323" s="1258"/>
      <c r="Z323" s="1258"/>
      <c r="AA323" s="1258"/>
      <c r="AB323" s="1259"/>
      <c r="AC323" s="1256"/>
    </row>
    <row r="324" spans="1:29">
      <c r="A324" s="971" t="s">
        <v>3</v>
      </c>
      <c r="B324" s="972">
        <f>B332+B340+B348+B356</f>
        <v>50</v>
      </c>
      <c r="C324" s="973">
        <f t="shared" ref="C324:K324" si="99">C332+C340+C348+C356</f>
        <v>50</v>
      </c>
      <c r="D324" s="980">
        <f t="shared" si="99"/>
        <v>29</v>
      </c>
      <c r="E324" s="978">
        <f t="shared" si="99"/>
        <v>50</v>
      </c>
      <c r="F324" s="1105">
        <f t="shared" si="99"/>
        <v>44</v>
      </c>
      <c r="G324" s="983">
        <f t="shared" si="99"/>
        <v>45</v>
      </c>
      <c r="H324" s="972">
        <f t="shared" si="99"/>
        <v>50</v>
      </c>
      <c r="I324" s="978">
        <f t="shared" si="99"/>
        <v>50</v>
      </c>
      <c r="J324" s="972">
        <f t="shared" si="99"/>
        <v>50</v>
      </c>
      <c r="K324" s="981">
        <f t="shared" si="99"/>
        <v>42</v>
      </c>
      <c r="L324" s="982"/>
      <c r="M324" s="983"/>
      <c r="N324" s="1248">
        <f t="shared" ref="N324:T324" si="100">N332+N340+N348+N356</f>
        <v>35</v>
      </c>
      <c r="O324" s="1249">
        <f t="shared" si="100"/>
        <v>50</v>
      </c>
      <c r="P324" s="1249">
        <f t="shared" si="100"/>
        <v>50</v>
      </c>
      <c r="Q324" s="1248">
        <f t="shared" si="100"/>
        <v>38</v>
      </c>
      <c r="R324" s="1248">
        <f t="shared" si="100"/>
        <v>37</v>
      </c>
      <c r="S324" s="982">
        <f t="shared" si="100"/>
        <v>31</v>
      </c>
      <c r="T324" s="981">
        <f t="shared" si="100"/>
        <v>35</v>
      </c>
      <c r="U324" s="981"/>
      <c r="V324" s="981"/>
      <c r="W324" s="983"/>
      <c r="X324" s="981"/>
      <c r="Y324" s="981"/>
      <c r="Z324" s="981"/>
      <c r="AA324" s="981"/>
      <c r="AB324" s="984"/>
      <c r="AC324" s="979">
        <f>SUM(B324:AB324)</f>
        <v>736</v>
      </c>
    </row>
    <row r="325" spans="1:29">
      <c r="A325" s="971" t="s">
        <v>4</v>
      </c>
      <c r="B325" s="982">
        <f t="shared" ref="B325:K326" si="101">B333+B341+B349+B357</f>
        <v>10</v>
      </c>
      <c r="C325" s="981">
        <f t="shared" si="101"/>
        <v>9</v>
      </c>
      <c r="D325" s="980">
        <f t="shared" si="101"/>
        <v>6</v>
      </c>
      <c r="E325" s="983">
        <f t="shared" si="101"/>
        <v>12</v>
      </c>
      <c r="F325" s="981">
        <f t="shared" si="101"/>
        <v>9</v>
      </c>
      <c r="G325" s="984">
        <f t="shared" si="101"/>
        <v>13</v>
      </c>
      <c r="H325" s="980">
        <f t="shared" si="101"/>
        <v>6</v>
      </c>
      <c r="I325" s="1104">
        <f t="shared" si="101"/>
        <v>11</v>
      </c>
      <c r="J325" s="982">
        <f t="shared" si="101"/>
        <v>14</v>
      </c>
      <c r="K325" s="1105">
        <f t="shared" si="101"/>
        <v>10</v>
      </c>
      <c r="L325" s="980"/>
      <c r="M325" s="983"/>
      <c r="N325" s="981">
        <f t="shared" ref="N325:T325" si="102">N333+N341+N349+N357</f>
        <v>6</v>
      </c>
      <c r="O325" s="981">
        <f t="shared" si="102"/>
        <v>7</v>
      </c>
      <c r="P325" s="981">
        <f t="shared" si="102"/>
        <v>8</v>
      </c>
      <c r="Q325" s="981">
        <f t="shared" si="102"/>
        <v>9</v>
      </c>
      <c r="R325" s="981">
        <f t="shared" si="102"/>
        <v>8</v>
      </c>
      <c r="S325" s="982">
        <f t="shared" si="102"/>
        <v>8</v>
      </c>
      <c r="T325" s="981">
        <f t="shared" si="102"/>
        <v>8</v>
      </c>
      <c r="U325" s="981"/>
      <c r="V325" s="981"/>
      <c r="W325" s="983"/>
      <c r="X325" s="981"/>
      <c r="Y325" s="981"/>
      <c r="Z325" s="981"/>
      <c r="AA325" s="981"/>
      <c r="AB325" s="984"/>
      <c r="AC325" s="985">
        <f>SUM(B325:AB325)</f>
        <v>154</v>
      </c>
    </row>
    <row r="326" spans="1:29">
      <c r="A326" s="971" t="s">
        <v>6</v>
      </c>
      <c r="B326" s="982">
        <f t="shared" si="101"/>
        <v>1</v>
      </c>
      <c r="C326" s="986">
        <f t="shared" si="101"/>
        <v>1</v>
      </c>
      <c r="D326" s="980">
        <f t="shared" si="101"/>
        <v>2</v>
      </c>
      <c r="E326" s="1104">
        <f t="shared" si="101"/>
        <v>4</v>
      </c>
      <c r="F326" s="980">
        <f t="shared" si="101"/>
        <v>2</v>
      </c>
      <c r="G326" s="1104">
        <f t="shared" si="101"/>
        <v>4</v>
      </c>
      <c r="H326" s="972">
        <f t="shared" si="101"/>
        <v>0</v>
      </c>
      <c r="I326" s="1104">
        <f t="shared" si="101"/>
        <v>2</v>
      </c>
      <c r="J326" s="980">
        <f t="shared" si="101"/>
        <v>3</v>
      </c>
      <c r="K326" s="973">
        <f t="shared" si="101"/>
        <v>0</v>
      </c>
      <c r="L326" s="980"/>
      <c r="M326" s="983"/>
      <c r="N326" s="981">
        <f t="shared" ref="N326:T326" si="103">N334+N342+N350+N358</f>
        <v>1</v>
      </c>
      <c r="O326" s="981">
        <f t="shared" si="103"/>
        <v>1</v>
      </c>
      <c r="P326" s="973">
        <f t="shared" si="103"/>
        <v>0</v>
      </c>
      <c r="Q326" s="981">
        <f t="shared" si="103"/>
        <v>3</v>
      </c>
      <c r="R326" s="981">
        <f t="shared" si="103"/>
        <v>1</v>
      </c>
      <c r="S326" s="982">
        <f t="shared" si="103"/>
        <v>2</v>
      </c>
      <c r="T326" s="981">
        <f t="shared" si="103"/>
        <v>2</v>
      </c>
      <c r="U326" s="981"/>
      <c r="V326" s="981"/>
      <c r="W326" s="983"/>
      <c r="X326" s="981"/>
      <c r="Y326" s="981"/>
      <c r="Z326" s="981"/>
      <c r="AA326" s="981"/>
      <c r="AB326" s="984"/>
      <c r="AC326" s="987">
        <f>SUM(B326:AB326)</f>
        <v>29</v>
      </c>
    </row>
    <row r="327" spans="1:29">
      <c r="A327" s="971" t="s">
        <v>12</v>
      </c>
      <c r="B327" s="988">
        <f>B326/B325</f>
        <v>0.1</v>
      </c>
      <c r="C327" s="990">
        <f t="shared" ref="C327:K327" si="104">C326/C325</f>
        <v>0.1111111111111111</v>
      </c>
      <c r="D327" s="993">
        <f t="shared" si="104"/>
        <v>0.33333333333333331</v>
      </c>
      <c r="E327" s="994">
        <f t="shared" si="104"/>
        <v>0.33333333333333331</v>
      </c>
      <c r="F327" s="993">
        <f t="shared" si="104"/>
        <v>0.22222222222222221</v>
      </c>
      <c r="G327" s="994">
        <f t="shared" si="104"/>
        <v>0.30769230769230771</v>
      </c>
      <c r="H327" s="1043">
        <f t="shared" si="104"/>
        <v>0</v>
      </c>
      <c r="I327" s="994">
        <f t="shared" si="104"/>
        <v>0.18181818181818182</v>
      </c>
      <c r="J327" s="993">
        <f t="shared" si="104"/>
        <v>0.21428571428571427</v>
      </c>
      <c r="K327" s="989">
        <f t="shared" si="104"/>
        <v>0</v>
      </c>
      <c r="L327" s="993"/>
      <c r="M327" s="994"/>
      <c r="N327" s="992">
        <f t="shared" ref="N327:T327" si="105">N326/N325</f>
        <v>0.16666666666666666</v>
      </c>
      <c r="O327" s="992">
        <f t="shared" si="105"/>
        <v>0.14285714285714285</v>
      </c>
      <c r="P327" s="989">
        <f t="shared" si="105"/>
        <v>0</v>
      </c>
      <c r="Q327" s="992">
        <f t="shared" si="105"/>
        <v>0.33333333333333331</v>
      </c>
      <c r="R327" s="992">
        <f t="shared" si="105"/>
        <v>0.125</v>
      </c>
      <c r="S327" s="993">
        <f t="shared" si="105"/>
        <v>0.25</v>
      </c>
      <c r="T327" s="992">
        <f t="shared" si="105"/>
        <v>0.25</v>
      </c>
      <c r="U327" s="992"/>
      <c r="V327" s="992"/>
      <c r="W327" s="994"/>
      <c r="X327" s="992"/>
      <c r="Y327" s="992"/>
      <c r="Z327" s="992"/>
      <c r="AA327" s="992"/>
      <c r="AB327" s="995"/>
      <c r="AC327" s="996">
        <f>AC326/AC325</f>
        <v>0.18831168831168832</v>
      </c>
    </row>
    <row r="328" spans="1:29">
      <c r="A328" s="971" t="s">
        <v>5</v>
      </c>
      <c r="B328" s="997">
        <f t="shared" ref="B328:G329" si="106">(B336+B344+B352+B360)/4</f>
        <v>4.958333333333333</v>
      </c>
      <c r="C328" s="998">
        <f t="shared" si="106"/>
        <v>5.25</v>
      </c>
      <c r="D328" s="999">
        <f t="shared" si="106"/>
        <v>4.625</v>
      </c>
      <c r="E328" s="1000">
        <f t="shared" si="106"/>
        <v>4.1666666666666661</v>
      </c>
      <c r="F328" s="1106">
        <f t="shared" si="106"/>
        <v>4.541666666666667</v>
      </c>
      <c r="G328" s="1001">
        <f t="shared" si="106"/>
        <v>3.583333333333333</v>
      </c>
      <c r="H328" s="999">
        <f>(H336+H344+H352+H360)/4</f>
        <v>7.25</v>
      </c>
      <c r="I328" s="1107">
        <f t="shared" ref="I328:K329" si="107">(I336+I344+I352+I360)/4</f>
        <v>4.875</v>
      </c>
      <c r="J328" s="997">
        <f t="shared" si="107"/>
        <v>3.666666666666667</v>
      </c>
      <c r="K328" s="1108">
        <f t="shared" si="107"/>
        <v>4.166666666666667</v>
      </c>
      <c r="L328" s="999"/>
      <c r="M328" s="1000"/>
      <c r="N328" s="998">
        <f t="shared" ref="N328:T328" si="108">(N336+N344+N352+N360)/4</f>
        <v>6.125</v>
      </c>
      <c r="O328" s="998">
        <f t="shared" si="108"/>
        <v>7.375</v>
      </c>
      <c r="P328" s="998">
        <f t="shared" si="108"/>
        <v>6.25</v>
      </c>
      <c r="Q328" s="998">
        <f t="shared" si="108"/>
        <v>4.3333333333333339</v>
      </c>
      <c r="R328" s="998">
        <f t="shared" si="108"/>
        <v>4.625</v>
      </c>
      <c r="S328" s="997">
        <f t="shared" si="108"/>
        <v>3.875</v>
      </c>
      <c r="T328" s="998">
        <f t="shared" si="108"/>
        <v>4.375</v>
      </c>
      <c r="U328" s="998"/>
      <c r="V328" s="998"/>
      <c r="W328" s="1000"/>
      <c r="X328" s="998"/>
      <c r="Y328" s="998"/>
      <c r="Z328" s="998"/>
      <c r="AA328" s="998"/>
      <c r="AB328" s="1001"/>
      <c r="AC328" s="1002">
        <f>AC324/AC325</f>
        <v>4.779220779220779</v>
      </c>
    </row>
    <row r="329" spans="1:29">
      <c r="A329" s="1003" t="s">
        <v>8</v>
      </c>
      <c r="B329" s="1004">
        <f t="shared" si="106"/>
        <v>6.333333333333333</v>
      </c>
      <c r="C329" s="1005">
        <f t="shared" si="106"/>
        <v>6.125</v>
      </c>
      <c r="D329" s="1109">
        <f t="shared" si="106"/>
        <v>4.625</v>
      </c>
      <c r="E329" s="1006">
        <f t="shared" si="106"/>
        <v>6.25</v>
      </c>
      <c r="F329" s="1005">
        <f t="shared" si="106"/>
        <v>4.666666666666667</v>
      </c>
      <c r="G329" s="1110">
        <f t="shared" si="106"/>
        <v>5.125</v>
      </c>
      <c r="H329" s="1109">
        <f>(H337+H345+H353+H361)/4</f>
        <v>7.25</v>
      </c>
      <c r="I329" s="1111">
        <f t="shared" si="107"/>
        <v>5.9166666666666661</v>
      </c>
      <c r="J329" s="1004">
        <f t="shared" si="107"/>
        <v>4.666666666666667</v>
      </c>
      <c r="K329" s="1112">
        <f t="shared" si="107"/>
        <v>4.166666666666667</v>
      </c>
      <c r="L329" s="1109"/>
      <c r="M329" s="1006"/>
      <c r="N329" s="1005">
        <f t="shared" ref="N329:T329" si="109">(N337+N345+N353+N361)/4</f>
        <v>6.375</v>
      </c>
      <c r="O329" s="1005">
        <f t="shared" si="109"/>
        <v>8.125</v>
      </c>
      <c r="P329" s="1005">
        <f t="shared" si="109"/>
        <v>6.25</v>
      </c>
      <c r="Q329" s="1005">
        <f t="shared" si="109"/>
        <v>7.25</v>
      </c>
      <c r="R329" s="1005">
        <f t="shared" si="109"/>
        <v>4.875</v>
      </c>
      <c r="S329" s="1004">
        <f t="shared" si="109"/>
        <v>4.625</v>
      </c>
      <c r="T329" s="1005">
        <f t="shared" si="109"/>
        <v>6.125</v>
      </c>
      <c r="U329" s="1005"/>
      <c r="V329" s="1005"/>
      <c r="W329" s="1006"/>
      <c r="X329" s="1005"/>
      <c r="Y329" s="1005"/>
      <c r="Z329" s="1005"/>
      <c r="AA329" s="1005"/>
      <c r="AB329" s="1110"/>
      <c r="AC329" s="1007">
        <f>AC324/(AC325-AC326)</f>
        <v>5.8879999999999999</v>
      </c>
    </row>
    <row r="330" spans="1:29" ht="3" customHeight="1">
      <c r="B330" s="582"/>
      <c r="C330" s="582"/>
      <c r="D330" s="582"/>
      <c r="E330" s="582"/>
      <c r="F330" s="582"/>
      <c r="G330" s="582"/>
      <c r="H330" s="582"/>
      <c r="I330" s="582"/>
      <c r="J330" s="582"/>
      <c r="K330" s="582"/>
      <c r="L330" s="582"/>
      <c r="M330" s="1025"/>
      <c r="N330" s="582"/>
      <c r="O330" s="582"/>
      <c r="P330" s="582"/>
      <c r="Q330" s="582"/>
      <c r="R330" s="582"/>
      <c r="S330" s="582"/>
      <c r="T330" s="582"/>
      <c r="U330" s="582"/>
      <c r="V330" s="582"/>
      <c r="W330" s="582"/>
      <c r="X330" s="582"/>
      <c r="Y330" s="582"/>
      <c r="Z330" s="582"/>
      <c r="AA330" s="582"/>
      <c r="AB330" s="582"/>
    </row>
    <row r="331" spans="1:29" hidden="1" outlineLevel="1">
      <c r="A331" s="1178" t="s">
        <v>139</v>
      </c>
      <c r="B331" s="1021"/>
      <c r="C331" s="1022"/>
      <c r="D331" s="1021"/>
      <c r="E331" s="1023"/>
      <c r="F331" s="1022"/>
      <c r="G331" s="1023"/>
      <c r="H331" s="1021"/>
      <c r="I331" s="1023"/>
      <c r="J331" s="1021"/>
      <c r="K331" s="1023"/>
      <c r="L331" s="1021"/>
      <c r="M331" s="1023"/>
      <c r="N331" s="1022"/>
      <c r="O331" s="1022"/>
      <c r="P331" s="1022"/>
      <c r="Q331" s="1022"/>
      <c r="R331" s="1022"/>
      <c r="S331" s="1022"/>
      <c r="T331" s="1022"/>
      <c r="U331" s="1022"/>
      <c r="V331" s="1022"/>
      <c r="W331" s="1022"/>
      <c r="X331" s="1022"/>
      <c r="Y331" s="1022"/>
      <c r="Z331" s="1022"/>
      <c r="AA331" s="1022"/>
      <c r="AB331" s="1023"/>
      <c r="AC331" s="1178"/>
    </row>
    <row r="332" spans="1:29" hidden="1" outlineLevel="1">
      <c r="A332" s="971" t="s">
        <v>3</v>
      </c>
      <c r="B332" s="1027">
        <f>'Gruppe B'!AP66</f>
        <v>15</v>
      </c>
      <c r="C332" s="113">
        <f>'Gruppe B'!AJ97</f>
        <v>24</v>
      </c>
      <c r="D332" s="1028">
        <f>'Gruppe B'!AJ121</f>
        <v>21</v>
      </c>
      <c r="E332" s="1029">
        <f>'Gruppe B'!BC66</f>
        <v>19</v>
      </c>
      <c r="F332" s="113">
        <f>'Gruppe B'!C66</f>
        <v>23</v>
      </c>
      <c r="G332" s="1031">
        <f>'Gruppe B'!AJ20</f>
        <v>8</v>
      </c>
      <c r="H332" s="1027">
        <f>'Gruppe B'!AJ43</f>
        <v>21</v>
      </c>
      <c r="I332" s="1029">
        <f>'Gruppe B'!P66</f>
        <v>13</v>
      </c>
      <c r="J332" s="1028">
        <f>'Gruppe B'!AJ148</f>
        <v>12</v>
      </c>
      <c r="K332" s="1079">
        <f>'Gruppe B'!BP66</f>
        <v>17</v>
      </c>
      <c r="L332" s="1027"/>
      <c r="M332" s="1031"/>
      <c r="N332" s="1079">
        <f>'Spiel 7 - Viertelfinal'!I89</f>
        <v>19</v>
      </c>
      <c r="O332" s="1079">
        <f>'Spiel 7 - Viertelfinal'!O89</f>
        <v>20</v>
      </c>
      <c r="P332" s="1079">
        <f>'Spiel 7 - Viertelfinal'!AI89</f>
        <v>13</v>
      </c>
      <c r="Q332" s="1079">
        <f>'Spiel 7 - Viertelfinal'!AO89</f>
        <v>10</v>
      </c>
      <c r="R332" s="1079">
        <f>'Spiel 7 - Viertelfinal'!BI89</f>
        <v>12</v>
      </c>
      <c r="S332" s="1079">
        <f>'Spiel 8 - Halbfinal'!I58</f>
        <v>17</v>
      </c>
      <c r="T332" s="1079">
        <f>'Spiel 8 - Halbfinal'!O58</f>
        <v>11</v>
      </c>
      <c r="U332" s="1079"/>
      <c r="V332" s="1079"/>
      <c r="W332" s="1079"/>
      <c r="X332" s="1079"/>
      <c r="Y332" s="1079"/>
      <c r="Z332" s="1079"/>
      <c r="AA332" s="1079"/>
      <c r="AB332" s="1030"/>
      <c r="AC332" s="979">
        <f>SUM(B332:AB332)</f>
        <v>275</v>
      </c>
    </row>
    <row r="333" spans="1:29" hidden="1" outlineLevel="1">
      <c r="A333" s="971" t="s">
        <v>4</v>
      </c>
      <c r="B333" s="1028">
        <f>'Gruppe B'!AP67</f>
        <v>3</v>
      </c>
      <c r="C333" s="1079">
        <f>'Gruppe B'!AJ98</f>
        <v>3</v>
      </c>
      <c r="D333" s="1028">
        <f>'Gruppe B'!AJ122</f>
        <v>2</v>
      </c>
      <c r="E333" s="1031">
        <f>'Gruppe B'!BC67</f>
        <v>3</v>
      </c>
      <c r="F333" s="1079">
        <f>'Gruppe B'!C67</f>
        <v>3</v>
      </c>
      <c r="G333" s="1030">
        <f>'Gruppe B'!AJ21</f>
        <v>4</v>
      </c>
      <c r="H333" s="1028">
        <f>'Gruppe B'!AJ44</f>
        <v>2</v>
      </c>
      <c r="I333" s="1029">
        <f>'Gruppe B'!P67</f>
        <v>3</v>
      </c>
      <c r="J333" s="1027">
        <f>'Gruppe B'!AJ149</f>
        <v>4</v>
      </c>
      <c r="K333" s="113">
        <f>'Gruppe B'!BP67</f>
        <v>3</v>
      </c>
      <c r="L333" s="1028"/>
      <c r="M333" s="1031"/>
      <c r="N333" s="1079">
        <f>'Spiel 7 - Viertelfinal'!I90</f>
        <v>2</v>
      </c>
      <c r="O333" s="1079">
        <f>'Spiel 7 - Viertelfinal'!O90</f>
        <v>2</v>
      </c>
      <c r="P333" s="1079">
        <f>'Spiel 7 - Viertelfinal'!AI90</f>
        <v>2</v>
      </c>
      <c r="Q333" s="1079">
        <f>'Spiel 7 - Viertelfinal'!AO90</f>
        <v>3</v>
      </c>
      <c r="R333" s="1079">
        <f>'Spiel 7 - Viertelfinal'!BI90</f>
        <v>2</v>
      </c>
      <c r="S333" s="1079">
        <f>'Spiel 8 - Halbfinal'!I59</f>
        <v>2</v>
      </c>
      <c r="T333" s="1079">
        <f>'Spiel 8 - Halbfinal'!O59</f>
        <v>2</v>
      </c>
      <c r="U333" s="1079"/>
      <c r="V333" s="1079"/>
      <c r="W333" s="1079"/>
      <c r="X333" s="1079"/>
      <c r="Y333" s="1079"/>
      <c r="Z333" s="1079"/>
      <c r="AA333" s="1079"/>
      <c r="AB333" s="1030"/>
      <c r="AC333" s="985">
        <f>SUM(B333:AB333)</f>
        <v>45</v>
      </c>
    </row>
    <row r="334" spans="1:29" hidden="1" outlineLevel="1">
      <c r="A334" s="971" t="s">
        <v>6</v>
      </c>
      <c r="B334" s="972">
        <f>'Gruppe B'!AP68</f>
        <v>0</v>
      </c>
      <c r="C334" s="973">
        <f>'Gruppe B'!AJ99</f>
        <v>0</v>
      </c>
      <c r="D334" s="972">
        <f>'Gruppe B'!AJ123</f>
        <v>0</v>
      </c>
      <c r="E334" s="1029">
        <f>'Gruppe B'!BC68</f>
        <v>1</v>
      </c>
      <c r="F334" s="972">
        <f>'Gruppe B'!C68</f>
        <v>0</v>
      </c>
      <c r="G334" s="1029">
        <f>'Gruppe B'!AJ22</f>
        <v>2</v>
      </c>
      <c r="H334" s="972">
        <f>'Gruppe B'!AJ45</f>
        <v>0</v>
      </c>
      <c r="I334" s="1029">
        <f>'Gruppe B'!P68</f>
        <v>1</v>
      </c>
      <c r="J334" s="1028">
        <f>'Gruppe B'!AJ150</f>
        <v>1</v>
      </c>
      <c r="K334" s="973">
        <f>'Gruppe B'!BP68</f>
        <v>0</v>
      </c>
      <c r="L334" s="1028"/>
      <c r="M334" s="1031"/>
      <c r="N334" s="973">
        <f>'Spiel 7 - Viertelfinal'!I91</f>
        <v>0</v>
      </c>
      <c r="O334" s="973">
        <f>'Spiel 7 - Viertelfinal'!O91</f>
        <v>0</v>
      </c>
      <c r="P334" s="973">
        <f>'Spiel 7 - Viertelfinal'!AI91</f>
        <v>0</v>
      </c>
      <c r="Q334" s="1079">
        <f>'Spiel 7 - Viertelfinal'!AO91</f>
        <v>1</v>
      </c>
      <c r="R334" s="973">
        <f>'Spiel 7 - Viertelfinal'!BI91</f>
        <v>0</v>
      </c>
      <c r="S334" s="973">
        <f>'Spiel 8 - Halbfinal'!I60</f>
        <v>0</v>
      </c>
      <c r="T334" s="1079">
        <f>'Spiel 8 - Halbfinal'!O60</f>
        <v>1</v>
      </c>
      <c r="U334" s="1079"/>
      <c r="V334" s="1079"/>
      <c r="W334" s="1079"/>
      <c r="X334" s="1079"/>
      <c r="Y334" s="1079"/>
      <c r="Z334" s="1079"/>
      <c r="AA334" s="1079"/>
      <c r="AB334" s="1030"/>
      <c r="AC334" s="987">
        <f>SUM(B334:AB334)</f>
        <v>7</v>
      </c>
    </row>
    <row r="335" spans="1:29" hidden="1" outlineLevel="1">
      <c r="A335" s="971" t="s">
        <v>12</v>
      </c>
      <c r="B335" s="1043">
        <f>'Gruppe B'!AP69</f>
        <v>0</v>
      </c>
      <c r="C335" s="989">
        <f>'Gruppe B'!AJ100</f>
        <v>0</v>
      </c>
      <c r="D335" s="1043">
        <f>'Gruppe B'!AJ124</f>
        <v>0</v>
      </c>
      <c r="E335" s="1085">
        <f>'Gruppe B'!BC69</f>
        <v>0.33333333333333331</v>
      </c>
      <c r="F335" s="1043">
        <f>'Gruppe B'!C69</f>
        <v>0</v>
      </c>
      <c r="G335" s="1085">
        <f>'Gruppe B'!AJ23</f>
        <v>0.5</v>
      </c>
      <c r="H335" s="1043">
        <f>'Gruppe B'!AJ46</f>
        <v>0</v>
      </c>
      <c r="I335" s="1085">
        <f>'Gruppe B'!P69</f>
        <v>0.33333333333333331</v>
      </c>
      <c r="J335" s="1083">
        <f>'Gruppe B'!AJ151</f>
        <v>0.25</v>
      </c>
      <c r="K335" s="989">
        <f>'Gruppe B'!BP69</f>
        <v>0</v>
      </c>
      <c r="L335" s="1083"/>
      <c r="M335" s="1085"/>
      <c r="N335" s="989">
        <f>'Spiel 7 - Viertelfinal'!I92</f>
        <v>0</v>
      </c>
      <c r="O335" s="989">
        <f>'Spiel 7 - Viertelfinal'!O92</f>
        <v>0</v>
      </c>
      <c r="P335" s="989">
        <f>'Spiel 7 - Viertelfinal'!AI92</f>
        <v>0</v>
      </c>
      <c r="Q335" s="1084">
        <f>'Spiel 7 - Viertelfinal'!AO92</f>
        <v>0.33333333333333331</v>
      </c>
      <c r="R335" s="989">
        <f>'Spiel 7 - Viertelfinal'!BI92</f>
        <v>0</v>
      </c>
      <c r="S335" s="989">
        <f>'Spiel 8 - Halbfinal'!I61</f>
        <v>0</v>
      </c>
      <c r="T335" s="1084">
        <f>'Spiel 8 - Halbfinal'!O61</f>
        <v>0.5</v>
      </c>
      <c r="U335" s="1084"/>
      <c r="V335" s="1084"/>
      <c r="W335" s="1084"/>
      <c r="X335" s="1084"/>
      <c r="Y335" s="1084"/>
      <c r="Z335" s="1084"/>
      <c r="AA335" s="1084"/>
      <c r="AB335" s="1086"/>
      <c r="AC335" s="996">
        <f>AC334/AC333</f>
        <v>0.15555555555555556</v>
      </c>
    </row>
    <row r="336" spans="1:29" hidden="1" outlineLevel="1">
      <c r="A336" s="971" t="s">
        <v>5</v>
      </c>
      <c r="B336" s="1045">
        <f>'Gruppe B'!AP70</f>
        <v>5</v>
      </c>
      <c r="C336" s="1088">
        <f>'Gruppe B'!AJ101</f>
        <v>8</v>
      </c>
      <c r="D336" s="1047">
        <f>'Gruppe B'!AJ125</f>
        <v>10.5</v>
      </c>
      <c r="E336" s="1050">
        <f>'Gruppe B'!BC70</f>
        <v>6.333333333333333</v>
      </c>
      <c r="F336" s="1124">
        <f>'Gruppe B'!C70</f>
        <v>7.666666666666667</v>
      </c>
      <c r="G336" s="1049">
        <f>'Gruppe B'!AJ24</f>
        <v>2</v>
      </c>
      <c r="H336" s="1047">
        <f>'Gruppe B'!AJ47</f>
        <v>10.5</v>
      </c>
      <c r="I336" s="1048">
        <f>'Gruppe B'!P70</f>
        <v>4.333333333333333</v>
      </c>
      <c r="J336" s="1045">
        <f>'Gruppe B'!AJ152</f>
        <v>3</v>
      </c>
      <c r="K336" s="1046">
        <f>'Gruppe B'!BP70</f>
        <v>5.666666666666667</v>
      </c>
      <c r="L336" s="1047"/>
      <c r="M336" s="1050"/>
      <c r="N336" s="1088">
        <f>'Spiel 7 - Viertelfinal'!I93</f>
        <v>9.5</v>
      </c>
      <c r="O336" s="1088">
        <f>'Spiel 7 - Viertelfinal'!O93</f>
        <v>10</v>
      </c>
      <c r="P336" s="1088">
        <f>'Spiel 7 - Viertelfinal'!AI93</f>
        <v>6.5</v>
      </c>
      <c r="Q336" s="1088">
        <f>'Spiel 7 - Viertelfinal'!AO93</f>
        <v>3.3333333333333335</v>
      </c>
      <c r="R336" s="1088">
        <f>'Spiel 7 - Viertelfinal'!BI93</f>
        <v>6</v>
      </c>
      <c r="S336" s="1088">
        <f>'Spiel 8 - Halbfinal'!I62</f>
        <v>8.5</v>
      </c>
      <c r="T336" s="1088">
        <f>'Spiel 8 - Halbfinal'!O62</f>
        <v>5.5</v>
      </c>
      <c r="U336" s="1088"/>
      <c r="V336" s="1088"/>
      <c r="W336" s="1088"/>
      <c r="X336" s="1088"/>
      <c r="Y336" s="1088"/>
      <c r="Z336" s="1088"/>
      <c r="AA336" s="1088"/>
      <c r="AB336" s="1049"/>
      <c r="AC336" s="1002">
        <f>AC332/AC333</f>
        <v>6.1111111111111107</v>
      </c>
    </row>
    <row r="337" spans="1:29" hidden="1" outlineLevel="1">
      <c r="A337" s="1003" t="s">
        <v>8</v>
      </c>
      <c r="B337" s="1053">
        <f>'Gruppe B'!AP71</f>
        <v>5</v>
      </c>
      <c r="C337" s="1091">
        <f>'Gruppe B'!AJ102</f>
        <v>8</v>
      </c>
      <c r="D337" s="1055">
        <f>'Gruppe B'!AJ126</f>
        <v>10.5</v>
      </c>
      <c r="E337" s="1058">
        <f>'Gruppe B'!BC71</f>
        <v>9.5</v>
      </c>
      <c r="F337" s="1091">
        <f>'Gruppe B'!C71</f>
        <v>7.666666666666667</v>
      </c>
      <c r="G337" s="1057">
        <f>'Gruppe B'!AJ25</f>
        <v>4</v>
      </c>
      <c r="H337" s="1055">
        <f>'Gruppe B'!AJ48</f>
        <v>10.5</v>
      </c>
      <c r="I337" s="1056">
        <f>'Gruppe B'!P71</f>
        <v>6.5</v>
      </c>
      <c r="J337" s="1053">
        <f>'Gruppe B'!AJ153</f>
        <v>4</v>
      </c>
      <c r="K337" s="1054">
        <f>'Gruppe B'!BP71</f>
        <v>5.666666666666667</v>
      </c>
      <c r="L337" s="1055"/>
      <c r="M337" s="1058"/>
      <c r="N337" s="1091">
        <f>'Spiel 7 - Viertelfinal'!I94</f>
        <v>9.5</v>
      </c>
      <c r="O337" s="1091">
        <f>'Spiel 7 - Viertelfinal'!O94</f>
        <v>10</v>
      </c>
      <c r="P337" s="1091">
        <f>'Spiel 7 - Viertelfinal'!AI94</f>
        <v>6.5</v>
      </c>
      <c r="Q337" s="1091">
        <f>'Spiel 7 - Viertelfinal'!AO94</f>
        <v>5</v>
      </c>
      <c r="R337" s="1091">
        <f>'Spiel 7 - Viertelfinal'!BI94</f>
        <v>6</v>
      </c>
      <c r="S337" s="1091">
        <f>'Spiel 8 - Halbfinal'!I63</f>
        <v>8.5</v>
      </c>
      <c r="T337" s="1091">
        <f>'Spiel 8 - Halbfinal'!O63</f>
        <v>11</v>
      </c>
      <c r="U337" s="1091"/>
      <c r="V337" s="1091"/>
      <c r="W337" s="1091"/>
      <c r="X337" s="1091"/>
      <c r="Y337" s="1091"/>
      <c r="Z337" s="1091"/>
      <c r="AA337" s="1091"/>
      <c r="AB337" s="1057"/>
      <c r="AC337" s="1007">
        <f>AC332/(AC333-AC334)</f>
        <v>7.2368421052631575</v>
      </c>
    </row>
    <row r="338" spans="1:29" ht="3" hidden="1" customHeight="1" outlineLevel="1">
      <c r="B338" s="582"/>
      <c r="C338" s="582"/>
      <c r="D338" s="582"/>
      <c r="E338" s="582"/>
      <c r="F338" s="582"/>
      <c r="G338" s="582"/>
      <c r="H338" s="582"/>
      <c r="I338" s="582"/>
      <c r="J338" s="582"/>
      <c r="K338" s="582"/>
      <c r="L338" s="582"/>
      <c r="M338" s="1025"/>
      <c r="N338" s="582"/>
      <c r="O338" s="582"/>
      <c r="P338" s="582"/>
      <c r="Q338" s="582"/>
      <c r="R338" s="582"/>
      <c r="S338" s="582"/>
      <c r="T338" s="582"/>
      <c r="U338" s="582"/>
      <c r="V338" s="582"/>
      <c r="W338" s="582"/>
      <c r="X338" s="582"/>
      <c r="Y338" s="582"/>
      <c r="Z338" s="582"/>
      <c r="AA338" s="582"/>
      <c r="AB338" s="582"/>
    </row>
    <row r="339" spans="1:29" hidden="1" outlineLevel="1">
      <c r="A339" s="1178" t="s">
        <v>140</v>
      </c>
      <c r="B339" s="1242"/>
      <c r="C339" s="1243"/>
      <c r="D339" s="1021"/>
      <c r="E339" s="1023"/>
      <c r="F339" s="1022"/>
      <c r="G339" s="1023"/>
      <c r="H339" s="1021"/>
      <c r="I339" s="1023"/>
      <c r="J339" s="1021"/>
      <c r="K339" s="1023"/>
      <c r="L339" s="1021"/>
      <c r="M339" s="1023"/>
      <c r="N339" s="1022"/>
      <c r="O339" s="1022"/>
      <c r="P339" s="1022"/>
      <c r="Q339" s="1022"/>
      <c r="R339" s="1022"/>
      <c r="S339" s="1022"/>
      <c r="T339" s="1022"/>
      <c r="U339" s="1022"/>
      <c r="V339" s="1022"/>
      <c r="W339" s="1022"/>
      <c r="X339" s="1022"/>
      <c r="Y339" s="1022"/>
      <c r="Z339" s="1022"/>
      <c r="AA339" s="1022"/>
      <c r="AB339" s="1023"/>
      <c r="AC339" s="1178"/>
    </row>
    <row r="340" spans="1:29" hidden="1" outlineLevel="1">
      <c r="A340" s="971" t="s">
        <v>3</v>
      </c>
      <c r="B340" s="1027">
        <f>'Gruppe B'!AQ66</f>
        <v>16</v>
      </c>
      <c r="C340" s="113">
        <f>'Gruppe B'!AK97</f>
        <v>7</v>
      </c>
      <c r="D340" s="1028">
        <f>'Gruppe B'!AK121</f>
        <v>0</v>
      </c>
      <c r="E340" s="1029">
        <f>'Gruppe B'!BD66</f>
        <v>5</v>
      </c>
      <c r="F340" s="113">
        <f>'Gruppe B'!E66</f>
        <v>5</v>
      </c>
      <c r="G340" s="1031">
        <f>'Gruppe B'!AL20</f>
        <v>16</v>
      </c>
      <c r="H340" s="1027">
        <f>'Gruppe B'!AK43</f>
        <v>21</v>
      </c>
      <c r="I340" s="1029">
        <f>'Gruppe B'!Q66</f>
        <v>12</v>
      </c>
      <c r="J340" s="1028">
        <f>'Gruppe B'!AK148</f>
        <v>12</v>
      </c>
      <c r="K340" s="1079">
        <f>'Gruppe B'!BQ66</f>
        <v>9</v>
      </c>
      <c r="L340" s="1027"/>
      <c r="M340" s="1031"/>
      <c r="N340" s="1079">
        <f>'Spiel 7 - Viertelfinal'!J89</f>
        <v>2</v>
      </c>
      <c r="O340" s="1079">
        <f>'Spiel 7 - Viertelfinal'!P89</f>
        <v>6</v>
      </c>
      <c r="P340" s="1079">
        <f>'Spiel 7 - Viertelfinal'!AJ89</f>
        <v>9</v>
      </c>
      <c r="Q340" s="1079">
        <f>'Spiel 7 - Viertelfinal'!AP89</f>
        <v>9</v>
      </c>
      <c r="R340" s="1079">
        <f>'Spiel 7 - Viertelfinal'!BJ89</f>
        <v>2</v>
      </c>
      <c r="S340" s="1079">
        <f>'Spiel 8 - Halbfinal'!J58</f>
        <v>3</v>
      </c>
      <c r="T340" s="1079">
        <f>'Spiel 8 - Halbfinal'!P58</f>
        <v>3</v>
      </c>
      <c r="U340" s="1079"/>
      <c r="V340" s="1079"/>
      <c r="W340" s="1079"/>
      <c r="X340" s="1079"/>
      <c r="Y340" s="1079"/>
      <c r="Z340" s="1079"/>
      <c r="AA340" s="1079"/>
      <c r="AB340" s="1030"/>
      <c r="AC340" s="979">
        <f>SUM(B340:AB340)</f>
        <v>137</v>
      </c>
    </row>
    <row r="341" spans="1:29" hidden="1" outlineLevel="1">
      <c r="A341" s="971" t="s">
        <v>4</v>
      </c>
      <c r="B341" s="1028">
        <f>'Gruppe B'!AQ67</f>
        <v>3</v>
      </c>
      <c r="C341" s="1079">
        <f>'Gruppe B'!AK98</f>
        <v>2</v>
      </c>
      <c r="D341" s="1028">
        <f>'Gruppe B'!AK122</f>
        <v>2</v>
      </c>
      <c r="E341" s="1031">
        <f>'Gruppe B'!BD67</f>
        <v>3</v>
      </c>
      <c r="F341" s="1079">
        <f>'Gruppe B'!E67</f>
        <v>2</v>
      </c>
      <c r="G341" s="1030">
        <f>'Gruppe B'!AL21</f>
        <v>3</v>
      </c>
      <c r="H341" s="1028">
        <f>'Gruppe B'!AK44</f>
        <v>2</v>
      </c>
      <c r="I341" s="1029">
        <f>'Gruppe B'!Q67</f>
        <v>3</v>
      </c>
      <c r="J341" s="1027">
        <f>'Gruppe B'!AK149</f>
        <v>4</v>
      </c>
      <c r="K341" s="113">
        <f>'Gruppe B'!BQ67</f>
        <v>3</v>
      </c>
      <c r="L341" s="1028"/>
      <c r="M341" s="1031"/>
      <c r="N341" s="1079">
        <f>'Spiel 7 - Viertelfinal'!J90</f>
        <v>2</v>
      </c>
      <c r="O341" s="1079">
        <f>'Spiel 7 - Viertelfinal'!P90</f>
        <v>2</v>
      </c>
      <c r="P341" s="1079">
        <f>'Spiel 7 - Viertelfinal'!AJ90</f>
        <v>2</v>
      </c>
      <c r="Q341" s="1079">
        <f>'Spiel 7 - Viertelfinal'!AP90</f>
        <v>2</v>
      </c>
      <c r="R341" s="1079">
        <f>'Spiel 7 - Viertelfinal'!BJ90</f>
        <v>2</v>
      </c>
      <c r="S341" s="1079">
        <f>'Spiel 8 - Halbfinal'!J59</f>
        <v>2</v>
      </c>
      <c r="T341" s="1079">
        <f>'Spiel 8 - Halbfinal'!P59</f>
        <v>2</v>
      </c>
      <c r="U341" s="1079"/>
      <c r="V341" s="1079"/>
      <c r="W341" s="1079"/>
      <c r="X341" s="1079"/>
      <c r="Y341" s="1079"/>
      <c r="Z341" s="1079"/>
      <c r="AA341" s="1079"/>
      <c r="AB341" s="1030"/>
      <c r="AC341" s="985">
        <f>SUM(B341:AB341)</f>
        <v>41</v>
      </c>
    </row>
    <row r="342" spans="1:29" hidden="1" outlineLevel="1">
      <c r="A342" s="971" t="s">
        <v>6</v>
      </c>
      <c r="B342" s="972">
        <f>'Gruppe B'!AQ68</f>
        <v>0</v>
      </c>
      <c r="C342" s="115">
        <f>'Gruppe B'!AK99</f>
        <v>1</v>
      </c>
      <c r="D342" s="1028">
        <f>'Gruppe B'!AK123</f>
        <v>2</v>
      </c>
      <c r="E342" s="1029">
        <f>'Gruppe B'!BD68</f>
        <v>2</v>
      </c>
      <c r="F342" s="1028">
        <f>'Gruppe B'!E68</f>
        <v>1</v>
      </c>
      <c r="G342" s="1029">
        <f>'Gruppe B'!AL22</f>
        <v>1</v>
      </c>
      <c r="H342" s="972">
        <f>'Gruppe B'!AK45</f>
        <v>0</v>
      </c>
      <c r="I342" s="1029">
        <f>'Gruppe B'!Q68</f>
        <v>1</v>
      </c>
      <c r="J342" s="1028">
        <f>'Gruppe B'!AK150</f>
        <v>1</v>
      </c>
      <c r="K342" s="973">
        <f>'Gruppe B'!BQ68</f>
        <v>0</v>
      </c>
      <c r="L342" s="1028"/>
      <c r="M342" s="1029"/>
      <c r="N342" s="113">
        <f>'Spiel 7 - Viertelfinal'!J91</f>
        <v>1</v>
      </c>
      <c r="O342" s="113">
        <f>'Spiel 7 - Viertelfinal'!P91</f>
        <v>1</v>
      </c>
      <c r="P342" s="973">
        <f>'Spiel 7 - Viertelfinal'!AJ91</f>
        <v>0</v>
      </c>
      <c r="Q342" s="113">
        <f>'Spiel 7 - Viertelfinal'!AP91</f>
        <v>1</v>
      </c>
      <c r="R342" s="113">
        <f>'Spiel 7 - Viertelfinal'!BJ91</f>
        <v>1</v>
      </c>
      <c r="S342" s="113">
        <f>'Spiel 8 - Halbfinal'!J60</f>
        <v>1</v>
      </c>
      <c r="T342" s="113">
        <f>'Spiel 8 - Halbfinal'!P60</f>
        <v>1</v>
      </c>
      <c r="U342" s="113"/>
      <c r="V342" s="113"/>
      <c r="W342" s="113"/>
      <c r="X342" s="113"/>
      <c r="Y342" s="113"/>
      <c r="Z342" s="113"/>
      <c r="AA342" s="113"/>
      <c r="AB342" s="1030"/>
      <c r="AC342" s="987">
        <f>SUM(B342:AB342)</f>
        <v>15</v>
      </c>
    </row>
    <row r="343" spans="1:29" hidden="1" outlineLevel="1">
      <c r="A343" s="971" t="s">
        <v>12</v>
      </c>
      <c r="B343" s="1043">
        <f>'Gruppe B'!AQ69</f>
        <v>0</v>
      </c>
      <c r="C343" s="1082">
        <f>'Gruppe B'!AK100</f>
        <v>0.5</v>
      </c>
      <c r="D343" s="1083">
        <f>'Gruppe B'!AK124</f>
        <v>1</v>
      </c>
      <c r="E343" s="1085">
        <f>'Gruppe B'!BD69</f>
        <v>0.66666666666666663</v>
      </c>
      <c r="F343" s="1083">
        <f>'Gruppe B'!E69</f>
        <v>0.5</v>
      </c>
      <c r="G343" s="1085">
        <f>'Gruppe B'!AL23</f>
        <v>0.33333333333333331</v>
      </c>
      <c r="H343" s="1043">
        <f>'Gruppe B'!AK46</f>
        <v>0</v>
      </c>
      <c r="I343" s="1085">
        <f>'Gruppe B'!Q69</f>
        <v>0.33333333333333331</v>
      </c>
      <c r="J343" s="1083">
        <f>'Gruppe B'!AK151</f>
        <v>0.25</v>
      </c>
      <c r="K343" s="989">
        <f>'Gruppe B'!BQ69</f>
        <v>0</v>
      </c>
      <c r="L343" s="1083"/>
      <c r="M343" s="1085"/>
      <c r="N343" s="1084">
        <f>'Spiel 7 - Viertelfinal'!J92</f>
        <v>0.5</v>
      </c>
      <c r="O343" s="1084">
        <f>'Spiel 7 - Viertelfinal'!P92</f>
        <v>0.5</v>
      </c>
      <c r="P343" s="989">
        <f>'Spiel 7 - Viertelfinal'!AJ92</f>
        <v>0</v>
      </c>
      <c r="Q343" s="1084">
        <f>'Spiel 7 - Viertelfinal'!AP92</f>
        <v>0.5</v>
      </c>
      <c r="R343" s="1084">
        <f>'Spiel 7 - Viertelfinal'!BJ92</f>
        <v>0.5</v>
      </c>
      <c r="S343" s="1084">
        <f>'Spiel 8 - Halbfinal'!J61</f>
        <v>0.5</v>
      </c>
      <c r="T343" s="1084">
        <f>'Spiel 8 - Halbfinal'!P61</f>
        <v>0.5</v>
      </c>
      <c r="U343" s="1084"/>
      <c r="V343" s="1084"/>
      <c r="W343" s="1084"/>
      <c r="X343" s="1084"/>
      <c r="Y343" s="1084"/>
      <c r="Z343" s="1084"/>
      <c r="AA343" s="1084"/>
      <c r="AB343" s="1086"/>
      <c r="AC343" s="996">
        <f>AC342/AC341</f>
        <v>0.36585365853658536</v>
      </c>
    </row>
    <row r="344" spans="1:29" hidden="1" outlineLevel="1">
      <c r="A344" s="971" t="s">
        <v>5</v>
      </c>
      <c r="B344" s="1045">
        <f>'Gruppe B'!AQ70</f>
        <v>5.333333333333333</v>
      </c>
      <c r="C344" s="1088">
        <f>'Gruppe B'!AK101</f>
        <v>3.5</v>
      </c>
      <c r="D344" s="1047">
        <f>'Gruppe B'!AK125</f>
        <v>0</v>
      </c>
      <c r="E344" s="1050">
        <f>'Gruppe B'!BD70</f>
        <v>1.6666666666666667</v>
      </c>
      <c r="F344" s="1124">
        <f>'Gruppe B'!E70</f>
        <v>2.5</v>
      </c>
      <c r="G344" s="1049">
        <f>'Gruppe B'!AL24</f>
        <v>5.333333333333333</v>
      </c>
      <c r="H344" s="1047">
        <f>'Gruppe B'!AK47</f>
        <v>10.5</v>
      </c>
      <c r="I344" s="1048">
        <f>'Gruppe B'!Q70</f>
        <v>4</v>
      </c>
      <c r="J344" s="1045">
        <f>'Gruppe B'!AK152</f>
        <v>3</v>
      </c>
      <c r="K344" s="1046">
        <f>'Gruppe B'!BQ70</f>
        <v>3</v>
      </c>
      <c r="L344" s="1047"/>
      <c r="M344" s="1050"/>
      <c r="N344" s="1088">
        <f>'Spiel 7 - Viertelfinal'!J93</f>
        <v>1</v>
      </c>
      <c r="O344" s="1088">
        <f>'Spiel 7 - Viertelfinal'!P93</f>
        <v>3</v>
      </c>
      <c r="P344" s="1088">
        <f>'Spiel 7 - Viertelfinal'!AJ93</f>
        <v>4.5</v>
      </c>
      <c r="Q344" s="1088">
        <f>'Spiel 7 - Viertelfinal'!AP93</f>
        <v>4.5</v>
      </c>
      <c r="R344" s="1088">
        <f>'Spiel 7 - Viertelfinal'!BJ93</f>
        <v>1</v>
      </c>
      <c r="S344" s="1088">
        <f>'Spiel 8 - Halbfinal'!J62</f>
        <v>1.5</v>
      </c>
      <c r="T344" s="1088">
        <f>'Spiel 8 - Halbfinal'!P62</f>
        <v>1.5</v>
      </c>
      <c r="U344" s="1088"/>
      <c r="V344" s="1088"/>
      <c r="W344" s="1088"/>
      <c r="X344" s="1088"/>
      <c r="Y344" s="1088"/>
      <c r="Z344" s="1088"/>
      <c r="AA344" s="1088"/>
      <c r="AB344" s="1049"/>
      <c r="AC344" s="1002">
        <f>AC340/AC341</f>
        <v>3.3414634146341462</v>
      </c>
    </row>
    <row r="345" spans="1:29" hidden="1" outlineLevel="1">
      <c r="A345" s="1003" t="s">
        <v>8</v>
      </c>
      <c r="B345" s="1053">
        <f>'Gruppe B'!AQ71</f>
        <v>5.333333333333333</v>
      </c>
      <c r="C345" s="1091">
        <f>'Gruppe B'!AK102</f>
        <v>7</v>
      </c>
      <c r="D345" s="1055">
        <f>'Gruppe B'!AK126</f>
        <v>0</v>
      </c>
      <c r="E345" s="1058">
        <f>'Gruppe B'!BD71</f>
        <v>5</v>
      </c>
      <c r="F345" s="1091">
        <f>'Gruppe B'!E71</f>
        <v>5</v>
      </c>
      <c r="G345" s="1057">
        <f>'Gruppe B'!AL25</f>
        <v>8</v>
      </c>
      <c r="H345" s="1055">
        <f>'Gruppe B'!AK48</f>
        <v>10.5</v>
      </c>
      <c r="I345" s="1056">
        <f>'Gruppe B'!Q71</f>
        <v>6</v>
      </c>
      <c r="J345" s="1053">
        <f>'Gruppe B'!AK153</f>
        <v>4</v>
      </c>
      <c r="K345" s="1054">
        <f>'Gruppe B'!BQ71</f>
        <v>3</v>
      </c>
      <c r="L345" s="1055"/>
      <c r="M345" s="1058"/>
      <c r="N345" s="1091">
        <f>'Spiel 7 - Viertelfinal'!J94</f>
        <v>2</v>
      </c>
      <c r="O345" s="1091">
        <f>'Spiel 7 - Viertelfinal'!P94</f>
        <v>6</v>
      </c>
      <c r="P345" s="1091">
        <f>'Spiel 7 - Viertelfinal'!AJ94</f>
        <v>4.5</v>
      </c>
      <c r="Q345" s="1091">
        <f>'Spiel 7 - Viertelfinal'!AP94</f>
        <v>9</v>
      </c>
      <c r="R345" s="1091">
        <f>'Spiel 7 - Viertelfinal'!BJ94</f>
        <v>2</v>
      </c>
      <c r="S345" s="1091">
        <f>'Spiel 8 - Halbfinal'!J63</f>
        <v>3</v>
      </c>
      <c r="T345" s="1091">
        <f>'Spiel 8 - Halbfinal'!P63</f>
        <v>3</v>
      </c>
      <c r="U345" s="1091"/>
      <c r="V345" s="1091"/>
      <c r="W345" s="1091"/>
      <c r="X345" s="1091"/>
      <c r="Y345" s="1091"/>
      <c r="Z345" s="1091"/>
      <c r="AA345" s="1091"/>
      <c r="AB345" s="1057"/>
      <c r="AC345" s="1007">
        <f>AC340/(AC341-AC342)</f>
        <v>5.2692307692307692</v>
      </c>
    </row>
    <row r="346" spans="1:29" ht="3" hidden="1" customHeight="1" outlineLevel="1">
      <c r="B346" s="582"/>
      <c r="C346" s="582"/>
      <c r="D346" s="582"/>
      <c r="E346" s="582"/>
      <c r="F346" s="582"/>
      <c r="G346" s="582"/>
      <c r="H346" s="582"/>
      <c r="I346" s="582"/>
      <c r="J346" s="582"/>
      <c r="K346" s="582"/>
      <c r="L346" s="582"/>
      <c r="M346" s="1025"/>
      <c r="N346" s="582"/>
      <c r="O346" s="582"/>
      <c r="P346" s="582"/>
      <c r="Q346" s="582"/>
      <c r="R346" s="582"/>
      <c r="S346" s="582"/>
      <c r="T346" s="582"/>
      <c r="U346" s="582"/>
      <c r="V346" s="582"/>
      <c r="W346" s="582"/>
      <c r="X346" s="582"/>
      <c r="Y346" s="582"/>
      <c r="Z346" s="582"/>
      <c r="AA346" s="582"/>
      <c r="AB346" s="582"/>
    </row>
    <row r="347" spans="1:29" hidden="1" outlineLevel="1">
      <c r="A347" s="1178" t="s">
        <v>141</v>
      </c>
      <c r="B347" s="1021"/>
      <c r="C347" s="1022"/>
      <c r="D347" s="1021"/>
      <c r="E347" s="1023"/>
      <c r="F347" s="1022"/>
      <c r="G347" s="1023"/>
      <c r="H347" s="1021"/>
      <c r="I347" s="1023"/>
      <c r="J347" s="1021"/>
      <c r="K347" s="1023"/>
      <c r="L347" s="1021"/>
      <c r="M347" s="1023"/>
      <c r="N347" s="1022"/>
      <c r="O347" s="1022"/>
      <c r="P347" s="1022"/>
      <c r="Q347" s="1022"/>
      <c r="R347" s="1022"/>
      <c r="S347" s="1022"/>
      <c r="T347" s="1022"/>
      <c r="U347" s="1022"/>
      <c r="V347" s="1022"/>
      <c r="W347" s="1022"/>
      <c r="X347" s="1022"/>
      <c r="Y347" s="1022"/>
      <c r="Z347" s="1022"/>
      <c r="AA347" s="1022"/>
      <c r="AB347" s="1023"/>
      <c r="AC347" s="1178"/>
    </row>
    <row r="348" spans="1:29" hidden="1" outlineLevel="1">
      <c r="A348" s="971" t="s">
        <v>3</v>
      </c>
      <c r="B348" s="1027">
        <f>'Gruppe B'!AR66</f>
        <v>8</v>
      </c>
      <c r="C348" s="113">
        <f>'Gruppe B'!AL97</f>
        <v>4</v>
      </c>
      <c r="D348" s="1028">
        <f>'Gruppe B'!AL121</f>
        <v>6</v>
      </c>
      <c r="E348" s="1029">
        <f>'Gruppe B'!BE66</f>
        <v>11</v>
      </c>
      <c r="F348" s="113">
        <f>'Gruppe B'!D66</f>
        <v>12</v>
      </c>
      <c r="G348" s="1031">
        <f>'Gruppe B'!AK20</f>
        <v>12</v>
      </c>
      <c r="H348" s="1027">
        <f>'Gruppe B'!AL43</f>
        <v>6</v>
      </c>
      <c r="I348" s="1029">
        <f>'Gruppe B'!R66</f>
        <v>8</v>
      </c>
      <c r="J348" s="1028">
        <f>'Gruppe B'!AL148</f>
        <v>14</v>
      </c>
      <c r="K348" s="1079">
        <f>'Gruppe B'!BR66</f>
        <v>8</v>
      </c>
      <c r="L348" s="1027"/>
      <c r="M348" s="1031"/>
      <c r="N348" s="1079">
        <f>'Spiel 7 - Viertelfinal'!K89</f>
        <v>6</v>
      </c>
      <c r="O348" s="1079">
        <f>'Spiel 7 - Viertelfinal'!Q89</f>
        <v>15</v>
      </c>
      <c r="P348" s="1079">
        <f>'Spiel 7 - Viertelfinal'!AK89</f>
        <v>14</v>
      </c>
      <c r="Q348" s="1079">
        <f>'Spiel 7 - Viertelfinal'!AQ89</f>
        <v>8</v>
      </c>
      <c r="R348" s="1079">
        <f>'Spiel 7 - Viertelfinal'!BK89</f>
        <v>9</v>
      </c>
      <c r="S348" s="1079">
        <f>'Spiel 8 - Halbfinal'!K58</f>
        <v>8</v>
      </c>
      <c r="T348" s="1079">
        <f>'Spiel 8 - Halbfinal'!Q58</f>
        <v>12</v>
      </c>
      <c r="U348" s="1079"/>
      <c r="V348" s="1079"/>
      <c r="W348" s="1079"/>
      <c r="X348" s="1079"/>
      <c r="Y348" s="1079"/>
      <c r="Z348" s="1079"/>
      <c r="AA348" s="1079"/>
      <c r="AB348" s="1030"/>
      <c r="AC348" s="979">
        <f>SUM(B348:AB348)</f>
        <v>161</v>
      </c>
    </row>
    <row r="349" spans="1:29" hidden="1" outlineLevel="1">
      <c r="A349" s="971" t="s">
        <v>4</v>
      </c>
      <c r="B349" s="1028">
        <f>'Gruppe B'!AR67</f>
        <v>2</v>
      </c>
      <c r="C349" s="1079">
        <f>'Gruppe B'!AL98</f>
        <v>2</v>
      </c>
      <c r="D349" s="1028">
        <f>'Gruppe B'!AL122</f>
        <v>1</v>
      </c>
      <c r="E349" s="1031">
        <f>'Gruppe B'!BE67</f>
        <v>3</v>
      </c>
      <c r="F349" s="1079">
        <f>'Gruppe B'!D67</f>
        <v>2</v>
      </c>
      <c r="G349" s="1030">
        <f>'Gruppe B'!AK21</f>
        <v>3</v>
      </c>
      <c r="H349" s="1028">
        <f>'Gruppe B'!AL44</f>
        <v>1</v>
      </c>
      <c r="I349" s="1029">
        <f>'Gruppe B'!R67</f>
        <v>3</v>
      </c>
      <c r="J349" s="1027">
        <f>'Gruppe B'!AL149</f>
        <v>3</v>
      </c>
      <c r="K349" s="113">
        <f>'Gruppe B'!BR67</f>
        <v>2</v>
      </c>
      <c r="L349" s="1028"/>
      <c r="M349" s="1031"/>
      <c r="N349" s="1079">
        <f>'Spiel 7 - Viertelfinal'!K90</f>
        <v>1</v>
      </c>
      <c r="O349" s="1079">
        <f>'Spiel 7 - Viertelfinal'!Q90</f>
        <v>2</v>
      </c>
      <c r="P349" s="1079">
        <f>'Spiel 7 - Viertelfinal'!AK90</f>
        <v>2</v>
      </c>
      <c r="Q349" s="1079">
        <f>'Spiel 7 - Viertelfinal'!AQ90</f>
        <v>2</v>
      </c>
      <c r="R349" s="1079">
        <f>'Spiel 7 - Viertelfinal'!BK90</f>
        <v>2</v>
      </c>
      <c r="S349" s="1079">
        <f>'Spiel 8 - Halbfinal'!K59</f>
        <v>2</v>
      </c>
      <c r="T349" s="1079">
        <f>'Spiel 8 - Halbfinal'!Q59</f>
        <v>2</v>
      </c>
      <c r="U349" s="1079"/>
      <c r="V349" s="1079"/>
      <c r="W349" s="1079"/>
      <c r="X349" s="1079"/>
      <c r="Y349" s="1079"/>
      <c r="Z349" s="1079"/>
      <c r="AA349" s="1079"/>
      <c r="AB349" s="1030"/>
      <c r="AC349" s="985">
        <f>SUM(B349:AB349)</f>
        <v>35</v>
      </c>
    </row>
    <row r="350" spans="1:29" hidden="1" outlineLevel="1">
      <c r="A350" s="971" t="s">
        <v>6</v>
      </c>
      <c r="B350" s="972">
        <f>'Gruppe B'!AR68</f>
        <v>0</v>
      </c>
      <c r="C350" s="973">
        <f>'Gruppe B'!AL99</f>
        <v>0</v>
      </c>
      <c r="D350" s="972">
        <f>'Gruppe B'!AL123</f>
        <v>0</v>
      </c>
      <c r="E350" s="1029">
        <f>'Gruppe B'!BE68</f>
        <v>1</v>
      </c>
      <c r="F350" s="972">
        <f>'Gruppe B'!D68</f>
        <v>0</v>
      </c>
      <c r="G350" s="978">
        <f>'Gruppe B'!AK22</f>
        <v>0</v>
      </c>
      <c r="H350" s="972">
        <f>'Gruppe B'!AL45</f>
        <v>0</v>
      </c>
      <c r="I350" s="978">
        <f>'Gruppe B'!R68</f>
        <v>0</v>
      </c>
      <c r="J350" s="972">
        <f>'Gruppe B'!AL150</f>
        <v>0</v>
      </c>
      <c r="K350" s="973">
        <f>'Gruppe B'!BR68</f>
        <v>0</v>
      </c>
      <c r="L350" s="1028"/>
      <c r="M350" s="1029"/>
      <c r="N350" s="973">
        <f>'Spiel 7 - Viertelfinal'!K91</f>
        <v>0</v>
      </c>
      <c r="O350" s="973">
        <f>'Spiel 7 - Viertelfinal'!Q91</f>
        <v>0</v>
      </c>
      <c r="P350" s="973">
        <f>'Spiel 7 - Viertelfinal'!AK91</f>
        <v>0</v>
      </c>
      <c r="Q350" s="973">
        <f>'Spiel 7 - Viertelfinal'!AQ91</f>
        <v>0</v>
      </c>
      <c r="R350" s="973">
        <f>'Spiel 7 - Viertelfinal'!BK91</f>
        <v>0</v>
      </c>
      <c r="S350" s="973">
        <f>'Spiel 8 - Halbfinal'!K60</f>
        <v>0</v>
      </c>
      <c r="T350" s="973">
        <f>'Spiel 8 - Halbfinal'!Q60</f>
        <v>0</v>
      </c>
      <c r="U350" s="113"/>
      <c r="V350" s="113"/>
      <c r="W350" s="113"/>
      <c r="X350" s="113"/>
      <c r="Y350" s="113"/>
      <c r="Z350" s="113"/>
      <c r="AA350" s="113"/>
      <c r="AB350" s="1030"/>
      <c r="AC350" s="987">
        <f>SUM(B350:AB350)</f>
        <v>1</v>
      </c>
    </row>
    <row r="351" spans="1:29" hidden="1" outlineLevel="1">
      <c r="A351" s="971" t="s">
        <v>12</v>
      </c>
      <c r="B351" s="1043">
        <f>'Gruppe B'!AR69</f>
        <v>0</v>
      </c>
      <c r="C351" s="989">
        <f>'Gruppe B'!AL100</f>
        <v>0</v>
      </c>
      <c r="D351" s="1043">
        <f>'Gruppe B'!AL124</f>
        <v>0</v>
      </c>
      <c r="E351" s="1085">
        <f>'Gruppe B'!BE69</f>
        <v>0.33333333333333331</v>
      </c>
      <c r="F351" s="1043">
        <f>'Gruppe B'!D69</f>
        <v>0</v>
      </c>
      <c r="G351" s="1042">
        <f>'Gruppe B'!AK23</f>
        <v>0</v>
      </c>
      <c r="H351" s="1043">
        <f>'Gruppe B'!AL46</f>
        <v>0</v>
      </c>
      <c r="I351" s="1042">
        <f>'Gruppe B'!R69</f>
        <v>0</v>
      </c>
      <c r="J351" s="1043">
        <f>'Gruppe B'!AL151</f>
        <v>0</v>
      </c>
      <c r="K351" s="989">
        <f>'Gruppe B'!BR69</f>
        <v>0</v>
      </c>
      <c r="L351" s="1083"/>
      <c r="M351" s="1085"/>
      <c r="N351" s="989">
        <f>'Spiel 7 - Viertelfinal'!K92</f>
        <v>0</v>
      </c>
      <c r="O351" s="989">
        <f>'Spiel 7 - Viertelfinal'!Q92</f>
        <v>0</v>
      </c>
      <c r="P351" s="989">
        <f>'Spiel 7 - Viertelfinal'!AK92</f>
        <v>0</v>
      </c>
      <c r="Q351" s="989">
        <f>'Spiel 7 - Viertelfinal'!AQ92</f>
        <v>0</v>
      </c>
      <c r="R351" s="989">
        <f>'Spiel 7 - Viertelfinal'!BK92</f>
        <v>0</v>
      </c>
      <c r="S351" s="989">
        <f>'Spiel 8 - Halbfinal'!K61</f>
        <v>0</v>
      </c>
      <c r="T351" s="989">
        <f>'Spiel 8 - Halbfinal'!Q61</f>
        <v>0</v>
      </c>
      <c r="U351" s="1084"/>
      <c r="V351" s="1084"/>
      <c r="W351" s="1084"/>
      <c r="X351" s="1084"/>
      <c r="Y351" s="1084"/>
      <c r="Z351" s="1084"/>
      <c r="AA351" s="1084"/>
      <c r="AB351" s="1086"/>
      <c r="AC351" s="996">
        <f>AC350/AC349</f>
        <v>2.8571428571428571E-2</v>
      </c>
    </row>
    <row r="352" spans="1:29" hidden="1" outlineLevel="1">
      <c r="A352" s="971" t="s">
        <v>5</v>
      </c>
      <c r="B352" s="1045">
        <f>'Gruppe B'!AR70</f>
        <v>4</v>
      </c>
      <c r="C352" s="1088">
        <f>'Gruppe B'!AL101</f>
        <v>2</v>
      </c>
      <c r="D352" s="1047">
        <f>'Gruppe B'!AL125</f>
        <v>6</v>
      </c>
      <c r="E352" s="1050">
        <f>'Gruppe B'!BE70</f>
        <v>3.6666666666666665</v>
      </c>
      <c r="F352" s="1124">
        <f>'Gruppe B'!D70</f>
        <v>6</v>
      </c>
      <c r="G352" s="1049">
        <f>'Gruppe B'!AK24</f>
        <v>4</v>
      </c>
      <c r="H352" s="1047">
        <f>'Gruppe B'!AL47</f>
        <v>6</v>
      </c>
      <c r="I352" s="1048">
        <f>'Gruppe B'!R70</f>
        <v>2.6666666666666665</v>
      </c>
      <c r="J352" s="1045">
        <f>'Gruppe B'!AL152</f>
        <v>4.666666666666667</v>
      </c>
      <c r="K352" s="1046">
        <f>'Gruppe B'!BR70</f>
        <v>4</v>
      </c>
      <c r="L352" s="1047"/>
      <c r="M352" s="1050"/>
      <c r="N352" s="1088">
        <f>'Spiel 7 - Viertelfinal'!K93</f>
        <v>6</v>
      </c>
      <c r="O352" s="1088">
        <f>'Spiel 7 - Viertelfinal'!Q93</f>
        <v>7.5</v>
      </c>
      <c r="P352" s="1088">
        <f>'Spiel 7 - Viertelfinal'!AK93</f>
        <v>7</v>
      </c>
      <c r="Q352" s="1088">
        <f>'Spiel 7 - Viertelfinal'!AQ93</f>
        <v>4</v>
      </c>
      <c r="R352" s="1088">
        <f>'Spiel 7 - Viertelfinal'!BK93</f>
        <v>4.5</v>
      </c>
      <c r="S352" s="1088">
        <f>'Spiel 8 - Halbfinal'!K62</f>
        <v>4</v>
      </c>
      <c r="T352" s="1088">
        <f>'Spiel 8 - Halbfinal'!Q62</f>
        <v>6</v>
      </c>
      <c r="U352" s="1088"/>
      <c r="V352" s="1088"/>
      <c r="W352" s="1088"/>
      <c r="X352" s="1088"/>
      <c r="Y352" s="1088"/>
      <c r="Z352" s="1088"/>
      <c r="AA352" s="1088"/>
      <c r="AB352" s="1049"/>
      <c r="AC352" s="1002">
        <f>AC348/AC349</f>
        <v>4.5999999999999996</v>
      </c>
    </row>
    <row r="353" spans="1:29" hidden="1" outlineLevel="1">
      <c r="A353" s="1003" t="s">
        <v>8</v>
      </c>
      <c r="B353" s="1053">
        <f>'Gruppe B'!AR71</f>
        <v>4</v>
      </c>
      <c r="C353" s="1091">
        <f>'Gruppe B'!AL102</f>
        <v>2</v>
      </c>
      <c r="D353" s="1055">
        <f>'Gruppe B'!AL126</f>
        <v>6</v>
      </c>
      <c r="E353" s="1058">
        <f>'Gruppe B'!BE71</f>
        <v>5.5</v>
      </c>
      <c r="F353" s="1091">
        <f>'Gruppe B'!D71</f>
        <v>6</v>
      </c>
      <c r="G353" s="1057">
        <f>'Gruppe B'!AK25</f>
        <v>4</v>
      </c>
      <c r="H353" s="1055">
        <f>'Gruppe B'!AL48</f>
        <v>6</v>
      </c>
      <c r="I353" s="1056">
        <f>'Gruppe B'!R71</f>
        <v>2.6666666666666665</v>
      </c>
      <c r="J353" s="1053">
        <f>'Gruppe B'!AL153</f>
        <v>4.666666666666667</v>
      </c>
      <c r="K353" s="1054">
        <f>'Gruppe B'!BR71</f>
        <v>4</v>
      </c>
      <c r="L353" s="1055"/>
      <c r="M353" s="1058"/>
      <c r="N353" s="1091">
        <f>'Spiel 7 - Viertelfinal'!K94</f>
        <v>6</v>
      </c>
      <c r="O353" s="1091">
        <f>'Spiel 7 - Viertelfinal'!Q94</f>
        <v>7.5</v>
      </c>
      <c r="P353" s="1091">
        <f>'Spiel 7 - Viertelfinal'!AK94</f>
        <v>7</v>
      </c>
      <c r="Q353" s="1091">
        <f>'Spiel 7 - Viertelfinal'!AQ94</f>
        <v>4</v>
      </c>
      <c r="R353" s="1091">
        <f>'Spiel 7 - Viertelfinal'!BK94</f>
        <v>4.5</v>
      </c>
      <c r="S353" s="1091">
        <f>'Spiel 8 - Halbfinal'!K63</f>
        <v>4</v>
      </c>
      <c r="T353" s="1091">
        <f>'Spiel 8 - Halbfinal'!Q63</f>
        <v>6</v>
      </c>
      <c r="U353" s="1091"/>
      <c r="V353" s="1091"/>
      <c r="W353" s="1091"/>
      <c r="X353" s="1091"/>
      <c r="Y353" s="1091"/>
      <c r="Z353" s="1091"/>
      <c r="AA353" s="1091"/>
      <c r="AB353" s="1057"/>
      <c r="AC353" s="1007">
        <f>AC348/(AC349-AC350)</f>
        <v>4.7352941176470589</v>
      </c>
    </row>
    <row r="354" spans="1:29" ht="3" hidden="1" customHeight="1" outlineLevel="1">
      <c r="B354" s="582"/>
      <c r="C354" s="582"/>
      <c r="D354" s="582"/>
      <c r="E354" s="582"/>
      <c r="F354" s="582"/>
      <c r="G354" s="582"/>
      <c r="H354" s="582"/>
      <c r="I354" s="582"/>
      <c r="J354" s="582"/>
      <c r="K354" s="582"/>
      <c r="L354" s="582"/>
      <c r="M354" s="1025"/>
      <c r="N354" s="582"/>
      <c r="O354" s="582"/>
      <c r="P354" s="582"/>
      <c r="Q354" s="582"/>
      <c r="R354" s="582"/>
      <c r="S354" s="582"/>
      <c r="T354" s="582"/>
      <c r="U354" s="582"/>
      <c r="V354" s="582"/>
      <c r="W354" s="582"/>
      <c r="X354" s="582"/>
      <c r="Y354" s="582"/>
      <c r="Z354" s="582"/>
      <c r="AA354" s="582"/>
      <c r="AB354" s="582"/>
    </row>
    <row r="355" spans="1:29" hidden="1" outlineLevel="1">
      <c r="A355" s="1178" t="s">
        <v>142</v>
      </c>
      <c r="B355" s="1021"/>
      <c r="C355" s="1022"/>
      <c r="D355" s="1021"/>
      <c r="E355" s="1023"/>
      <c r="F355" s="1022"/>
      <c r="G355" s="1023"/>
      <c r="H355" s="1021"/>
      <c r="I355" s="1023"/>
      <c r="J355" s="1021"/>
      <c r="K355" s="1023"/>
      <c r="L355" s="1021"/>
      <c r="M355" s="1023"/>
      <c r="N355" s="1022"/>
      <c r="O355" s="1022"/>
      <c r="P355" s="1022"/>
      <c r="Q355" s="1022"/>
      <c r="R355" s="1022"/>
      <c r="S355" s="1022"/>
      <c r="T355" s="1022"/>
      <c r="U355" s="1022"/>
      <c r="V355" s="1022"/>
      <c r="W355" s="1022"/>
      <c r="X355" s="1022"/>
      <c r="Y355" s="1022"/>
      <c r="Z355" s="1022"/>
      <c r="AA355" s="1022"/>
      <c r="AB355" s="1023"/>
      <c r="AC355" s="1178"/>
    </row>
    <row r="356" spans="1:29" hidden="1" outlineLevel="1">
      <c r="A356" s="971" t="s">
        <v>3</v>
      </c>
      <c r="B356" s="1027">
        <f>'Gruppe B'!AS66</f>
        <v>11</v>
      </c>
      <c r="C356" s="113">
        <f>'Gruppe B'!AM97</f>
        <v>15</v>
      </c>
      <c r="D356" s="1028">
        <f>'Gruppe B'!AM121</f>
        <v>2</v>
      </c>
      <c r="E356" s="1029">
        <f>'Gruppe B'!BF66</f>
        <v>15</v>
      </c>
      <c r="F356" s="113">
        <f>'Gruppe B'!F66</f>
        <v>4</v>
      </c>
      <c r="G356" s="1031">
        <f>'Gruppe B'!AM20</f>
        <v>9</v>
      </c>
      <c r="H356" s="1027">
        <f>'Gruppe B'!AM43</f>
        <v>2</v>
      </c>
      <c r="I356" s="1029">
        <f>'Gruppe B'!S66</f>
        <v>17</v>
      </c>
      <c r="J356" s="1028">
        <f>'Gruppe B'!AM148</f>
        <v>12</v>
      </c>
      <c r="K356" s="1079">
        <f>'Gruppe B'!BS66</f>
        <v>8</v>
      </c>
      <c r="L356" s="1027"/>
      <c r="M356" s="1031"/>
      <c r="N356" s="1079">
        <f>'Spiel 7 - Viertelfinal'!L89</f>
        <v>8</v>
      </c>
      <c r="O356" s="1079">
        <f>'Spiel 7 - Viertelfinal'!R89</f>
        <v>9</v>
      </c>
      <c r="P356" s="1079">
        <f>'Spiel 7 - Viertelfinal'!AL89</f>
        <v>14</v>
      </c>
      <c r="Q356" s="1079">
        <f>'Spiel 7 - Viertelfinal'!AR89</f>
        <v>11</v>
      </c>
      <c r="R356" s="1079">
        <f>'Spiel 7 - Viertelfinal'!BL89</f>
        <v>14</v>
      </c>
      <c r="S356" s="1079">
        <f>'Spiel 8 - Halbfinal'!L58</f>
        <v>3</v>
      </c>
      <c r="T356" s="1079">
        <f>'Spiel 8 - Halbfinal'!R58</f>
        <v>9</v>
      </c>
      <c r="U356" s="1079"/>
      <c r="V356" s="1079"/>
      <c r="W356" s="1079"/>
      <c r="X356" s="1079"/>
      <c r="Y356" s="1079"/>
      <c r="Z356" s="1079"/>
      <c r="AA356" s="1079"/>
      <c r="AB356" s="1030"/>
      <c r="AC356" s="979">
        <f>SUM(B356:AB356)</f>
        <v>163</v>
      </c>
    </row>
    <row r="357" spans="1:29" hidden="1" outlineLevel="1">
      <c r="A357" s="971" t="s">
        <v>4</v>
      </c>
      <c r="B357" s="1028">
        <f>'Gruppe B'!AS67</f>
        <v>2</v>
      </c>
      <c r="C357" s="1079">
        <f>'Gruppe B'!AM98</f>
        <v>2</v>
      </c>
      <c r="D357" s="1028">
        <f>'Gruppe B'!AM122</f>
        <v>1</v>
      </c>
      <c r="E357" s="1031">
        <f>'Gruppe B'!BF67</f>
        <v>3</v>
      </c>
      <c r="F357" s="1079">
        <f>'Gruppe B'!F67</f>
        <v>2</v>
      </c>
      <c r="G357" s="1030">
        <f>'Gruppe B'!AM21</f>
        <v>3</v>
      </c>
      <c r="H357" s="1028">
        <f>'Gruppe B'!AM44</f>
        <v>1</v>
      </c>
      <c r="I357" s="1029">
        <f>'Gruppe B'!S67</f>
        <v>2</v>
      </c>
      <c r="J357" s="1027">
        <f>'Gruppe B'!AM149</f>
        <v>3</v>
      </c>
      <c r="K357" s="113">
        <f>'Gruppe B'!BS67</f>
        <v>2</v>
      </c>
      <c r="L357" s="1028"/>
      <c r="M357" s="1031"/>
      <c r="N357" s="1079">
        <f>'Spiel 7 - Viertelfinal'!L90</f>
        <v>1</v>
      </c>
      <c r="O357" s="1079">
        <f>'Spiel 7 - Viertelfinal'!R90</f>
        <v>1</v>
      </c>
      <c r="P357" s="1079">
        <f>'Spiel 7 - Viertelfinal'!AL90</f>
        <v>2</v>
      </c>
      <c r="Q357" s="1079">
        <f>'Spiel 7 - Viertelfinal'!AR90</f>
        <v>2</v>
      </c>
      <c r="R357" s="1079">
        <f>'Spiel 7 - Viertelfinal'!BL90</f>
        <v>2</v>
      </c>
      <c r="S357" s="1079">
        <f>'Spiel 8 - Halbfinal'!L59</f>
        <v>2</v>
      </c>
      <c r="T357" s="1079">
        <f>'Spiel 8 - Halbfinal'!R59</f>
        <v>2</v>
      </c>
      <c r="U357" s="1079"/>
      <c r="V357" s="1079"/>
      <c r="W357" s="1079"/>
      <c r="X357" s="1079"/>
      <c r="Y357" s="1079"/>
      <c r="Z357" s="1079"/>
      <c r="AA357" s="1079"/>
      <c r="AB357" s="1030"/>
      <c r="AC357" s="985">
        <f>SUM(B357:AB357)</f>
        <v>33</v>
      </c>
    </row>
    <row r="358" spans="1:29" hidden="1" outlineLevel="1">
      <c r="A358" s="971" t="s">
        <v>6</v>
      </c>
      <c r="B358" s="1028">
        <f>'Gruppe B'!AS68</f>
        <v>1</v>
      </c>
      <c r="C358" s="973">
        <f>'Gruppe B'!AM99</f>
        <v>0</v>
      </c>
      <c r="D358" s="972">
        <f>'Gruppe B'!AM123</f>
        <v>0</v>
      </c>
      <c r="E358" s="978">
        <f>'Gruppe B'!BF68</f>
        <v>0</v>
      </c>
      <c r="F358" s="1028">
        <f>'Gruppe B'!F68</f>
        <v>1</v>
      </c>
      <c r="G358" s="1029">
        <f>'Gruppe B'!AM22</f>
        <v>1</v>
      </c>
      <c r="H358" s="972">
        <f>'Gruppe B'!AM45</f>
        <v>0</v>
      </c>
      <c r="I358" s="978">
        <f>'Gruppe B'!S68</f>
        <v>0</v>
      </c>
      <c r="J358" s="1028">
        <f>'Gruppe B'!AM150</f>
        <v>1</v>
      </c>
      <c r="K358" s="973">
        <f>'Gruppe B'!BS68</f>
        <v>0</v>
      </c>
      <c r="L358" s="1028"/>
      <c r="M358" s="1029"/>
      <c r="N358" s="973">
        <f>'Spiel 7 - Viertelfinal'!L91</f>
        <v>0</v>
      </c>
      <c r="O358" s="973">
        <f>'Spiel 7 - Viertelfinal'!R91</f>
        <v>0</v>
      </c>
      <c r="P358" s="973">
        <f>'Spiel 7 - Viertelfinal'!AL91</f>
        <v>0</v>
      </c>
      <c r="Q358" s="113">
        <f>'Spiel 7 - Viertelfinal'!AR91</f>
        <v>1</v>
      </c>
      <c r="R358" s="973">
        <f>'Spiel 7 - Viertelfinal'!BL91</f>
        <v>0</v>
      </c>
      <c r="S358" s="113">
        <f>'Spiel 8 - Halbfinal'!L60</f>
        <v>1</v>
      </c>
      <c r="T358" s="973">
        <f>'Spiel 8 - Halbfinal'!R60</f>
        <v>0</v>
      </c>
      <c r="U358" s="113"/>
      <c r="V358" s="113"/>
      <c r="W358" s="113"/>
      <c r="X358" s="113"/>
      <c r="Y358" s="113"/>
      <c r="Z358" s="113"/>
      <c r="AA358" s="113"/>
      <c r="AB358" s="1030"/>
      <c r="AC358" s="987">
        <f>SUM(B358:AB358)</f>
        <v>6</v>
      </c>
    </row>
    <row r="359" spans="1:29" hidden="1" outlineLevel="1">
      <c r="A359" s="971" t="s">
        <v>12</v>
      </c>
      <c r="B359" s="1083">
        <f>'Gruppe B'!AS69</f>
        <v>0.5</v>
      </c>
      <c r="C359" s="989">
        <f>'Gruppe B'!AM100</f>
        <v>0</v>
      </c>
      <c r="D359" s="1043">
        <f>'Gruppe B'!AM124</f>
        <v>0</v>
      </c>
      <c r="E359" s="1042">
        <f>'Gruppe B'!BF69</f>
        <v>0</v>
      </c>
      <c r="F359" s="1083">
        <f>'Gruppe B'!F69</f>
        <v>0.5</v>
      </c>
      <c r="G359" s="1085">
        <f>'Gruppe B'!AM23</f>
        <v>0.33333333333333331</v>
      </c>
      <c r="H359" s="1043">
        <f>'Gruppe B'!AM46</f>
        <v>0</v>
      </c>
      <c r="I359" s="1042">
        <f>'Gruppe B'!S69</f>
        <v>0</v>
      </c>
      <c r="J359" s="1083">
        <f>'Gruppe B'!AM151</f>
        <v>0.33333333333333331</v>
      </c>
      <c r="K359" s="989">
        <f>'Gruppe B'!BS69</f>
        <v>0</v>
      </c>
      <c r="L359" s="1083"/>
      <c r="M359" s="1085"/>
      <c r="N359" s="989">
        <f>'Spiel 7 - Viertelfinal'!L92</f>
        <v>0</v>
      </c>
      <c r="O359" s="989">
        <f>'Spiel 7 - Viertelfinal'!R92</f>
        <v>0</v>
      </c>
      <c r="P359" s="989">
        <f>'Spiel 7 - Viertelfinal'!AL92</f>
        <v>0</v>
      </c>
      <c r="Q359" s="1084">
        <f>'Spiel 7 - Viertelfinal'!AR92</f>
        <v>0.5</v>
      </c>
      <c r="R359" s="989">
        <f>'Spiel 7 - Viertelfinal'!BL92</f>
        <v>0</v>
      </c>
      <c r="S359" s="1084">
        <f>'Spiel 8 - Halbfinal'!L61</f>
        <v>0.5</v>
      </c>
      <c r="T359" s="989">
        <f>'Spiel 8 - Halbfinal'!R61</f>
        <v>0</v>
      </c>
      <c r="U359" s="1084"/>
      <c r="V359" s="1084"/>
      <c r="W359" s="1084"/>
      <c r="X359" s="1084"/>
      <c r="Y359" s="1084"/>
      <c r="Z359" s="1084"/>
      <c r="AA359" s="1084"/>
      <c r="AB359" s="1086"/>
      <c r="AC359" s="996">
        <f>AC358/AC357</f>
        <v>0.18181818181818182</v>
      </c>
    </row>
    <row r="360" spans="1:29" hidden="1" outlineLevel="1">
      <c r="A360" s="971" t="s">
        <v>5</v>
      </c>
      <c r="B360" s="1045">
        <f>'Gruppe B'!AS70</f>
        <v>5.5</v>
      </c>
      <c r="C360" s="1088">
        <f>'Gruppe B'!AM101</f>
        <v>7.5</v>
      </c>
      <c r="D360" s="1047">
        <f>'Gruppe B'!AM125</f>
        <v>2</v>
      </c>
      <c r="E360" s="1050">
        <f>'Gruppe B'!BF70</f>
        <v>5</v>
      </c>
      <c r="F360" s="1124">
        <f>'Gruppe B'!F70</f>
        <v>2</v>
      </c>
      <c r="G360" s="1049">
        <f>'Gruppe B'!AM24</f>
        <v>3</v>
      </c>
      <c r="H360" s="1047">
        <f>'Gruppe B'!AM47</f>
        <v>2</v>
      </c>
      <c r="I360" s="1048">
        <f>'Gruppe B'!S70</f>
        <v>8.5</v>
      </c>
      <c r="J360" s="1045">
        <f>'Gruppe B'!AM152</f>
        <v>4</v>
      </c>
      <c r="K360" s="1046">
        <f>'Gruppe B'!BS70</f>
        <v>4</v>
      </c>
      <c r="L360" s="1047"/>
      <c r="M360" s="1050"/>
      <c r="N360" s="1088">
        <f>'Spiel 7 - Viertelfinal'!L93</f>
        <v>8</v>
      </c>
      <c r="O360" s="1088">
        <f>'Spiel 7 - Viertelfinal'!R93</f>
        <v>9</v>
      </c>
      <c r="P360" s="1088">
        <f>'Spiel 7 - Viertelfinal'!AL93</f>
        <v>7</v>
      </c>
      <c r="Q360" s="1088">
        <f>'Spiel 7 - Viertelfinal'!AR93</f>
        <v>5.5</v>
      </c>
      <c r="R360" s="1088">
        <f>'Spiel 7 - Viertelfinal'!BL93</f>
        <v>7</v>
      </c>
      <c r="S360" s="1088">
        <f>'Spiel 8 - Halbfinal'!L62</f>
        <v>1.5</v>
      </c>
      <c r="T360" s="1088">
        <f>'Spiel 8 - Halbfinal'!R62</f>
        <v>4.5</v>
      </c>
      <c r="U360" s="1088"/>
      <c r="V360" s="1088"/>
      <c r="W360" s="1088"/>
      <c r="X360" s="1088"/>
      <c r="Y360" s="1088"/>
      <c r="Z360" s="1088"/>
      <c r="AA360" s="1088"/>
      <c r="AB360" s="1049"/>
      <c r="AC360" s="1002">
        <f>AC356/AC357</f>
        <v>4.9393939393939394</v>
      </c>
    </row>
    <row r="361" spans="1:29" hidden="1" outlineLevel="1">
      <c r="A361" s="1003" t="s">
        <v>8</v>
      </c>
      <c r="B361" s="1053">
        <f>'Gruppe B'!AS71</f>
        <v>11</v>
      </c>
      <c r="C361" s="1091">
        <f>'Gruppe B'!AM102</f>
        <v>7.5</v>
      </c>
      <c r="D361" s="1055">
        <f>'Gruppe B'!AM126</f>
        <v>2</v>
      </c>
      <c r="E361" s="1058">
        <f>'Gruppe B'!BF71</f>
        <v>5</v>
      </c>
      <c r="F361" s="1091">
        <f>'Gruppe B'!F71</f>
        <v>0</v>
      </c>
      <c r="G361" s="1057">
        <f>'Gruppe B'!AM25</f>
        <v>4.5</v>
      </c>
      <c r="H361" s="1055">
        <f>'Gruppe B'!AM48</f>
        <v>2</v>
      </c>
      <c r="I361" s="1056">
        <f>'Gruppe B'!S71</f>
        <v>8.5</v>
      </c>
      <c r="J361" s="1053">
        <f>'Gruppe B'!AM153</f>
        <v>6</v>
      </c>
      <c r="K361" s="1054">
        <f>'Gruppe B'!BS71</f>
        <v>4</v>
      </c>
      <c r="L361" s="1055"/>
      <c r="M361" s="1058"/>
      <c r="N361" s="1091">
        <f>'Spiel 7 - Viertelfinal'!L94</f>
        <v>8</v>
      </c>
      <c r="O361" s="1091">
        <f>'Spiel 7 - Viertelfinal'!R94</f>
        <v>9</v>
      </c>
      <c r="P361" s="1091">
        <f>'Spiel 7 - Viertelfinal'!AL94</f>
        <v>7</v>
      </c>
      <c r="Q361" s="1091">
        <f>'Spiel 7 - Viertelfinal'!AR94</f>
        <v>11</v>
      </c>
      <c r="R361" s="1091">
        <f>'Spiel 7 - Viertelfinal'!BL94</f>
        <v>7</v>
      </c>
      <c r="S361" s="1091">
        <f>'Spiel 8 - Halbfinal'!L63</f>
        <v>3</v>
      </c>
      <c r="T361" s="1091">
        <f>'Spiel 8 - Halbfinal'!R63</f>
        <v>4.5</v>
      </c>
      <c r="U361" s="1091"/>
      <c r="V361" s="1091"/>
      <c r="W361" s="1091"/>
      <c r="X361" s="1091"/>
      <c r="Y361" s="1091"/>
      <c r="Z361" s="1091"/>
      <c r="AA361" s="1091"/>
      <c r="AB361" s="1057"/>
      <c r="AC361" s="1007">
        <f>AC356/(AC357-AC358)</f>
        <v>6.0370370370370372</v>
      </c>
    </row>
    <row r="362" spans="1:29" ht="3" hidden="1" customHeight="1" outlineLevel="1">
      <c r="M362" s="1129"/>
    </row>
    <row r="363" spans="1:29" collapsed="1">
      <c r="A363" s="1260" t="s">
        <v>92</v>
      </c>
      <c r="B363" s="1261"/>
      <c r="C363" s="1262"/>
      <c r="D363" s="1262"/>
      <c r="E363" s="1262"/>
      <c r="F363" s="1262"/>
      <c r="G363" s="1262"/>
      <c r="H363" s="1262"/>
      <c r="I363" s="1262"/>
      <c r="J363" s="1262"/>
      <c r="K363" s="1262"/>
      <c r="L363" s="1262"/>
      <c r="M363" s="1263"/>
      <c r="N363" s="1261"/>
      <c r="O363" s="1262"/>
      <c r="P363" s="1262"/>
      <c r="Q363" s="1262"/>
      <c r="R363" s="1262"/>
      <c r="S363" s="1262"/>
      <c r="T363" s="1262"/>
      <c r="U363" s="1262"/>
      <c r="V363" s="1262"/>
      <c r="W363" s="1262"/>
      <c r="X363" s="1262"/>
      <c r="Y363" s="1262"/>
      <c r="Z363" s="1262"/>
      <c r="AA363" s="1262"/>
      <c r="AB363" s="1263"/>
      <c r="AC363" s="1260"/>
    </row>
    <row r="364" spans="1:29">
      <c r="A364" s="971" t="s">
        <v>3</v>
      </c>
      <c r="B364" s="982">
        <f>B372+B380+B388+B396+B404</f>
        <v>50</v>
      </c>
      <c r="C364" s="1105">
        <f t="shared" ref="C364:O364" si="110">C372+C380+C388+C396+C404</f>
        <v>22</v>
      </c>
      <c r="D364" s="972">
        <f t="shared" si="110"/>
        <v>50</v>
      </c>
      <c r="E364" s="978">
        <f t="shared" si="110"/>
        <v>50</v>
      </c>
      <c r="F364" s="973">
        <f t="shared" si="110"/>
        <v>50</v>
      </c>
      <c r="G364" s="983">
        <f t="shared" si="110"/>
        <v>26</v>
      </c>
      <c r="H364" s="982">
        <f t="shared" si="110"/>
        <v>24</v>
      </c>
      <c r="I364" s="1104">
        <f t="shared" si="110"/>
        <v>44</v>
      </c>
      <c r="J364" s="980">
        <f t="shared" si="110"/>
        <v>49</v>
      </c>
      <c r="K364" s="981">
        <f t="shared" si="110"/>
        <v>34</v>
      </c>
      <c r="L364" s="982"/>
      <c r="M364" s="983"/>
      <c r="N364" s="973">
        <f t="shared" si="110"/>
        <v>50</v>
      </c>
      <c r="O364" s="981">
        <f t="shared" si="110"/>
        <v>34</v>
      </c>
      <c r="P364" s="981">
        <f t="shared" ref="P364:Q364" si="111">P372+P380+P388+P396+P404</f>
        <v>46</v>
      </c>
      <c r="Q364" s="981">
        <f t="shared" si="111"/>
        <v>38</v>
      </c>
      <c r="R364" s="981"/>
      <c r="S364" s="982"/>
      <c r="T364" s="981"/>
      <c r="U364" s="981"/>
      <c r="V364" s="1166"/>
      <c r="W364" s="1167"/>
      <c r="X364" s="1166"/>
      <c r="Y364" s="1166"/>
      <c r="Z364" s="1166"/>
      <c r="AA364" s="1166"/>
      <c r="AB364" s="1168"/>
      <c r="AC364" s="979">
        <f>SUM(B364:AB364)</f>
        <v>567</v>
      </c>
    </row>
    <row r="365" spans="1:29">
      <c r="A365" s="971" t="s">
        <v>4</v>
      </c>
      <c r="B365" s="982">
        <f t="shared" ref="B365:O365" si="112">B373+B381+B389+B397+B405</f>
        <v>13</v>
      </c>
      <c r="C365" s="1105">
        <f t="shared" si="112"/>
        <v>6</v>
      </c>
      <c r="D365" s="980">
        <f t="shared" si="112"/>
        <v>10</v>
      </c>
      <c r="E365" s="1104">
        <f t="shared" si="112"/>
        <v>12</v>
      </c>
      <c r="F365" s="1105">
        <f t="shared" si="112"/>
        <v>7</v>
      </c>
      <c r="G365" s="983">
        <f t="shared" si="112"/>
        <v>6</v>
      </c>
      <c r="H365" s="982">
        <f t="shared" si="112"/>
        <v>6</v>
      </c>
      <c r="I365" s="1104">
        <f t="shared" si="112"/>
        <v>10</v>
      </c>
      <c r="J365" s="980">
        <f t="shared" si="112"/>
        <v>9</v>
      </c>
      <c r="K365" s="981">
        <f t="shared" si="112"/>
        <v>7</v>
      </c>
      <c r="L365" s="982"/>
      <c r="M365" s="983"/>
      <c r="N365" s="981">
        <f t="shared" si="112"/>
        <v>9</v>
      </c>
      <c r="O365" s="981">
        <f t="shared" si="112"/>
        <v>6</v>
      </c>
      <c r="P365" s="981">
        <f t="shared" ref="P365:Q365" si="113">P373+P381+P389+P397+P405</f>
        <v>17</v>
      </c>
      <c r="Q365" s="981">
        <f t="shared" si="113"/>
        <v>9</v>
      </c>
      <c r="R365" s="981"/>
      <c r="S365" s="982"/>
      <c r="T365" s="981"/>
      <c r="U365" s="981"/>
      <c r="V365" s="1166"/>
      <c r="W365" s="1167"/>
      <c r="X365" s="1166"/>
      <c r="Y365" s="1166"/>
      <c r="Z365" s="1166"/>
      <c r="AA365" s="1166"/>
      <c r="AB365" s="1168"/>
      <c r="AC365" s="985">
        <f>SUM(B365:AB365)</f>
        <v>127</v>
      </c>
    </row>
    <row r="366" spans="1:29">
      <c r="A366" s="971" t="s">
        <v>6</v>
      </c>
      <c r="B366" s="982">
        <f t="shared" ref="B366:O366" si="114">B374+B382+B390+B398+B406</f>
        <v>5</v>
      </c>
      <c r="C366" s="1105">
        <f t="shared" si="114"/>
        <v>2</v>
      </c>
      <c r="D366" s="982">
        <f t="shared" si="114"/>
        <v>1</v>
      </c>
      <c r="E366" s="1105">
        <f t="shared" si="114"/>
        <v>5</v>
      </c>
      <c r="F366" s="1264">
        <f t="shared" si="114"/>
        <v>0</v>
      </c>
      <c r="G366" s="1265">
        <f t="shared" si="114"/>
        <v>0</v>
      </c>
      <c r="H366" s="982">
        <f t="shared" si="114"/>
        <v>1</v>
      </c>
      <c r="I366" s="1105">
        <f t="shared" si="114"/>
        <v>3</v>
      </c>
      <c r="J366" s="982">
        <f t="shared" si="114"/>
        <v>3</v>
      </c>
      <c r="K366" s="1105">
        <f t="shared" si="114"/>
        <v>1</v>
      </c>
      <c r="L366" s="982"/>
      <c r="M366" s="983"/>
      <c r="N366" s="981">
        <f t="shared" si="114"/>
        <v>2</v>
      </c>
      <c r="O366" s="981">
        <f t="shared" si="114"/>
        <v>2</v>
      </c>
      <c r="P366" s="981">
        <f t="shared" ref="P366:Q366" si="115">P374+P382+P390+P398+P406</f>
        <v>3</v>
      </c>
      <c r="Q366" s="981">
        <f t="shared" si="115"/>
        <v>1</v>
      </c>
      <c r="R366" s="981"/>
      <c r="S366" s="982"/>
      <c r="T366" s="981"/>
      <c r="U366" s="981"/>
      <c r="V366" s="1166"/>
      <c r="W366" s="1167"/>
      <c r="X366" s="1166"/>
      <c r="Y366" s="1166"/>
      <c r="Z366" s="1166"/>
      <c r="AA366" s="1166"/>
      <c r="AB366" s="1168"/>
      <c r="AC366" s="987">
        <f>SUM(B366:AB366)</f>
        <v>29</v>
      </c>
    </row>
    <row r="367" spans="1:29">
      <c r="A367" s="971" t="s">
        <v>12</v>
      </c>
      <c r="B367" s="988">
        <f>B366/B365</f>
        <v>0.38461538461538464</v>
      </c>
      <c r="C367" s="990">
        <f t="shared" ref="C367:K367" si="116">C366/C365</f>
        <v>0.33333333333333331</v>
      </c>
      <c r="D367" s="988">
        <f t="shared" si="116"/>
        <v>0.1</v>
      </c>
      <c r="E367" s="990">
        <f t="shared" si="116"/>
        <v>0.41666666666666669</v>
      </c>
      <c r="F367" s="1266">
        <f t="shared" si="116"/>
        <v>0</v>
      </c>
      <c r="G367" s="1267">
        <f t="shared" si="116"/>
        <v>0</v>
      </c>
      <c r="H367" s="988">
        <f t="shared" si="116"/>
        <v>0.16666666666666666</v>
      </c>
      <c r="I367" s="990">
        <f t="shared" si="116"/>
        <v>0.3</v>
      </c>
      <c r="J367" s="988">
        <f t="shared" si="116"/>
        <v>0.33333333333333331</v>
      </c>
      <c r="K367" s="990">
        <f t="shared" si="116"/>
        <v>0.14285714285714285</v>
      </c>
      <c r="L367" s="988"/>
      <c r="M367" s="995"/>
      <c r="N367" s="992">
        <f>N366/N365</f>
        <v>0.22222222222222221</v>
      </c>
      <c r="O367" s="992">
        <f>O366/O365</f>
        <v>0.33333333333333331</v>
      </c>
      <c r="P367" s="992">
        <f t="shared" ref="P367:Q367" si="117">P366/P365</f>
        <v>0.17647058823529413</v>
      </c>
      <c r="Q367" s="992">
        <f t="shared" si="117"/>
        <v>0.1111111111111111</v>
      </c>
      <c r="R367" s="992"/>
      <c r="S367" s="993"/>
      <c r="T367" s="992"/>
      <c r="U367" s="992"/>
      <c r="V367" s="1169"/>
      <c r="W367" s="1170"/>
      <c r="X367" s="1169"/>
      <c r="Y367" s="1169"/>
      <c r="Z367" s="1169"/>
      <c r="AA367" s="1169"/>
      <c r="AB367" s="1171"/>
      <c r="AC367" s="996">
        <f>AC366/AC365</f>
        <v>0.2283464566929134</v>
      </c>
    </row>
    <row r="368" spans="1:29">
      <c r="A368" s="971" t="s">
        <v>5</v>
      </c>
      <c r="B368" s="997">
        <f t="shared" ref="B368:G369" si="118">(B376+B384+B400+B408)/4</f>
        <v>3.8749999999999996</v>
      </c>
      <c r="C368" s="998">
        <f t="shared" si="118"/>
        <v>4.125</v>
      </c>
      <c r="D368" s="999">
        <f t="shared" si="118"/>
        <v>3.625</v>
      </c>
      <c r="E368" s="1000">
        <f t="shared" si="118"/>
        <v>3.833333333333333</v>
      </c>
      <c r="F368" s="999">
        <f t="shared" si="118"/>
        <v>5.5</v>
      </c>
      <c r="G368" s="1001">
        <f t="shared" si="118"/>
        <v>4.375</v>
      </c>
      <c r="H368" s="999">
        <f t="shared" ref="H368:K368" si="119">(H376+H392+H400+H408)/4</f>
        <v>1.875</v>
      </c>
      <c r="I368" s="1107">
        <f t="shared" si="119"/>
        <v>4.041666666666667</v>
      </c>
      <c r="J368" s="997">
        <f t="shared" si="119"/>
        <v>4.083333333333333</v>
      </c>
      <c r="K368" s="1108">
        <f t="shared" si="119"/>
        <v>3.375</v>
      </c>
      <c r="L368" s="999"/>
      <c r="M368" s="1000"/>
      <c r="N368" s="998">
        <f>N364/N365</f>
        <v>5.5555555555555554</v>
      </c>
      <c r="O368" s="998">
        <f>O364/O365</f>
        <v>5.666666666666667</v>
      </c>
      <c r="P368" s="998">
        <f t="shared" ref="P368:Q368" si="120">P364/P365</f>
        <v>2.7058823529411766</v>
      </c>
      <c r="Q368" s="998">
        <f t="shared" si="120"/>
        <v>4.2222222222222223</v>
      </c>
      <c r="R368" s="998"/>
      <c r="S368" s="997"/>
      <c r="T368" s="998"/>
      <c r="U368" s="998"/>
      <c r="V368" s="1172"/>
      <c r="W368" s="1173"/>
      <c r="X368" s="1172"/>
      <c r="Y368" s="1172"/>
      <c r="Z368" s="1172"/>
      <c r="AA368" s="1172"/>
      <c r="AB368" s="1174"/>
      <c r="AC368" s="1002">
        <f>AC364/AC365</f>
        <v>4.4645669291338583</v>
      </c>
    </row>
    <row r="369" spans="1:29">
      <c r="A369" s="1003" t="s">
        <v>8</v>
      </c>
      <c r="B369" s="1004">
        <f t="shared" si="118"/>
        <v>6.958333333333333</v>
      </c>
      <c r="C369" s="1005">
        <f t="shared" si="118"/>
        <v>5.5</v>
      </c>
      <c r="D369" s="1109">
        <f t="shared" si="118"/>
        <v>4.25</v>
      </c>
      <c r="E369" s="1006">
        <f t="shared" si="118"/>
        <v>5.5</v>
      </c>
      <c r="F369" s="1005">
        <f t="shared" si="118"/>
        <v>5.5</v>
      </c>
      <c r="G369" s="1110">
        <f t="shared" si="118"/>
        <v>4.375</v>
      </c>
      <c r="H369" s="1109">
        <f t="shared" ref="H369:K369" si="121">(H377+H393+H401+H409)/4</f>
        <v>1.875</v>
      </c>
      <c r="I369" s="1111">
        <f t="shared" si="121"/>
        <v>4.291666666666667</v>
      </c>
      <c r="J369" s="1004">
        <f t="shared" si="121"/>
        <v>6.333333333333333</v>
      </c>
      <c r="K369" s="1112">
        <f t="shared" si="121"/>
        <v>4.5</v>
      </c>
      <c r="L369" s="1109"/>
      <c r="M369" s="1006"/>
      <c r="N369" s="1005">
        <f>N364/(N365-N366)</f>
        <v>7.1428571428571432</v>
      </c>
      <c r="O369" s="1005">
        <f>O364/(O365-O366)</f>
        <v>8.5</v>
      </c>
      <c r="P369" s="1005">
        <f t="shared" ref="P369:Q369" si="122">P364/(P365-P366)</f>
        <v>3.2857142857142856</v>
      </c>
      <c r="Q369" s="1005">
        <f t="shared" si="122"/>
        <v>4.75</v>
      </c>
      <c r="R369" s="1005"/>
      <c r="S369" s="1004"/>
      <c r="T369" s="1005"/>
      <c r="U369" s="1005"/>
      <c r="V369" s="1175"/>
      <c r="W369" s="1176"/>
      <c r="X369" s="1175"/>
      <c r="Y369" s="1175"/>
      <c r="Z369" s="1175"/>
      <c r="AA369" s="1175"/>
      <c r="AB369" s="1177"/>
      <c r="AC369" s="1007">
        <f>AC364/(AC365-AC366)</f>
        <v>5.7857142857142856</v>
      </c>
    </row>
    <row r="370" spans="1:29" ht="3" customHeight="1">
      <c r="M370" s="1129"/>
    </row>
    <row r="371" spans="1:29" hidden="1" outlineLevel="1">
      <c r="A371" s="1178" t="s">
        <v>96</v>
      </c>
      <c r="B371" s="1147"/>
      <c r="C371" s="1146"/>
      <c r="D371" s="1147"/>
      <c r="E371" s="1149"/>
      <c r="F371" s="1146"/>
      <c r="G371" s="1149"/>
      <c r="H371" s="1147"/>
      <c r="I371" s="1149"/>
      <c r="J371" s="1147"/>
      <c r="K371" s="1149"/>
      <c r="L371" s="1147"/>
      <c r="M371" s="1149"/>
      <c r="N371" s="1146"/>
      <c r="O371" s="1146"/>
      <c r="P371" s="1146"/>
      <c r="Q371" s="1146"/>
      <c r="R371" s="1146"/>
      <c r="S371" s="1146"/>
      <c r="T371" s="1146"/>
      <c r="U371" s="1146"/>
      <c r="V371" s="1146"/>
      <c r="W371" s="1146"/>
      <c r="X371" s="1146"/>
      <c r="Y371" s="1146"/>
      <c r="Z371" s="1146"/>
      <c r="AA371" s="1146"/>
      <c r="AB371" s="1149"/>
      <c r="AC371" s="1178"/>
    </row>
    <row r="372" spans="1:29" hidden="1" outlineLevel="1">
      <c r="A372" s="971" t="s">
        <v>3</v>
      </c>
      <c r="B372" s="1027">
        <f>'Gruppe B'!W121</f>
        <v>14</v>
      </c>
      <c r="C372" s="113">
        <f>'Gruppe B'!BC43</f>
        <v>4</v>
      </c>
      <c r="D372" s="1028">
        <f>'Gruppe B'!Y148</f>
        <v>11</v>
      </c>
      <c r="E372" s="1029">
        <f>'Gruppe B'!BS43</f>
        <v>30</v>
      </c>
      <c r="F372" s="113">
        <f>'Gruppe B'!AS43</f>
        <v>8</v>
      </c>
      <c r="G372" s="1031">
        <f>'Gruppe B'!Z97</f>
        <v>5</v>
      </c>
      <c r="H372" s="1027">
        <f>'Gruppe B'!AF43</f>
        <v>0</v>
      </c>
      <c r="I372" s="1029">
        <f>'Gruppe B'!Z66</f>
        <v>17</v>
      </c>
      <c r="J372" s="1028"/>
      <c r="K372" s="1079"/>
      <c r="L372" s="1027"/>
      <c r="M372" s="1031"/>
      <c r="N372" s="1079">
        <f>'Spiel 7 - Viertelfinal'!E23</f>
        <v>6</v>
      </c>
      <c r="O372" s="1079">
        <f>'Spiel 7 - Viertelfinal'!Y23</f>
        <v>0</v>
      </c>
      <c r="P372" s="1079">
        <f>'Spiel 7 - Viertelfinal'!AE23</f>
        <v>9</v>
      </c>
      <c r="Q372" s="1079">
        <f>'Spiel 7 - Viertelfinal'!AY23</f>
        <v>2</v>
      </c>
      <c r="R372" s="1079"/>
      <c r="S372" s="1079"/>
      <c r="T372" s="1079"/>
      <c r="U372" s="1079"/>
      <c r="V372" s="1179"/>
      <c r="W372" s="1179"/>
      <c r="X372" s="1179"/>
      <c r="Y372" s="1179"/>
      <c r="Z372" s="1179"/>
      <c r="AA372" s="1179"/>
      <c r="AB372" s="1180"/>
      <c r="AC372" s="979">
        <f>SUM(B372:AB372)</f>
        <v>106</v>
      </c>
    </row>
    <row r="373" spans="1:29" hidden="1" outlineLevel="1">
      <c r="A373" s="971" t="s">
        <v>4</v>
      </c>
      <c r="B373" s="1028">
        <f>'Gruppe B'!W122</f>
        <v>4</v>
      </c>
      <c r="C373" s="1079">
        <f>'Gruppe B'!BC44</f>
        <v>2</v>
      </c>
      <c r="D373" s="1028">
        <f>'Gruppe B'!Y149</f>
        <v>2</v>
      </c>
      <c r="E373" s="1031">
        <f>'Gruppe B'!BS44</f>
        <v>3</v>
      </c>
      <c r="F373" s="1079">
        <f>'Gruppe B'!AS44</f>
        <v>1</v>
      </c>
      <c r="G373" s="1030">
        <f>'Gruppe B'!Z98</f>
        <v>1</v>
      </c>
      <c r="H373" s="1028">
        <f>'Gruppe B'!AF44</f>
        <v>1</v>
      </c>
      <c r="I373" s="1029">
        <f>'Gruppe B'!Z67</f>
        <v>2</v>
      </c>
      <c r="J373" s="1027"/>
      <c r="K373" s="113"/>
      <c r="L373" s="1028"/>
      <c r="M373" s="1031"/>
      <c r="N373" s="1079">
        <f>'Spiel 7 - Viertelfinal'!E24</f>
        <v>2</v>
      </c>
      <c r="O373" s="1079">
        <f>'Spiel 7 - Viertelfinal'!Y24</f>
        <v>1</v>
      </c>
      <c r="P373" s="1079">
        <f>'Spiel 7 - Viertelfinal'!AE24</f>
        <v>4</v>
      </c>
      <c r="Q373" s="1079">
        <f>'Spiel 7 - Viertelfinal'!AY24</f>
        <v>2</v>
      </c>
      <c r="R373" s="1079"/>
      <c r="S373" s="1079"/>
      <c r="T373" s="1079"/>
      <c r="U373" s="1079"/>
      <c r="V373" s="1179"/>
      <c r="W373" s="1179"/>
      <c r="X373" s="1179"/>
      <c r="Y373" s="1179"/>
      <c r="Z373" s="1179"/>
      <c r="AA373" s="1179"/>
      <c r="AB373" s="1180"/>
      <c r="AC373" s="985">
        <f>SUM(B373:AB373)</f>
        <v>25</v>
      </c>
    </row>
    <row r="374" spans="1:29" hidden="1" outlineLevel="1">
      <c r="A374" s="971" t="s">
        <v>6</v>
      </c>
      <c r="B374" s="1250">
        <f>'Gruppe B'!W123</f>
        <v>2</v>
      </c>
      <c r="C374" s="1251">
        <f>'Gruppe B'!BC45</f>
        <v>1</v>
      </c>
      <c r="D374" s="972">
        <f>'Gruppe B'!Y150</f>
        <v>0</v>
      </c>
      <c r="E374" s="973">
        <f>'Gruppe B'!BS45</f>
        <v>0</v>
      </c>
      <c r="F374" s="972">
        <f>'Gruppe B'!AS45</f>
        <v>0</v>
      </c>
      <c r="G374" s="973">
        <f>'Gruppe B'!Z99</f>
        <v>0</v>
      </c>
      <c r="H374" s="1250">
        <f>'Gruppe B'!AF45</f>
        <v>1</v>
      </c>
      <c r="I374" s="973">
        <f>'Gruppe B'!Z68</f>
        <v>0</v>
      </c>
      <c r="J374" s="1028"/>
      <c r="K374" s="1251"/>
      <c r="L374" s="1028"/>
      <c r="M374" s="1254"/>
      <c r="N374" s="1251">
        <f>'Spiel 7 - Viertelfinal'!E25</f>
        <v>1</v>
      </c>
      <c r="O374" s="1251">
        <f>'Spiel 7 - Viertelfinal'!Y25</f>
        <v>1</v>
      </c>
      <c r="P374" s="1079">
        <f>'Spiel 7 - Viertelfinal'!AE25</f>
        <v>2</v>
      </c>
      <c r="Q374" s="1079">
        <f>'Spiel 7 - Viertelfinal'!AY25</f>
        <v>1</v>
      </c>
      <c r="R374" s="1079"/>
      <c r="S374" s="1079"/>
      <c r="T374" s="1079"/>
      <c r="U374" s="1251"/>
      <c r="V374" s="1179"/>
      <c r="W374" s="1179"/>
      <c r="X374" s="1179"/>
      <c r="Y374" s="1179"/>
      <c r="Z374" s="1179"/>
      <c r="AA374" s="1179"/>
      <c r="AB374" s="1180"/>
      <c r="AC374" s="987">
        <f>SUM(B374:AB374)</f>
        <v>9</v>
      </c>
    </row>
    <row r="375" spans="1:29" hidden="1" outlineLevel="1">
      <c r="A375" s="971" t="s">
        <v>12</v>
      </c>
      <c r="B375" s="1252">
        <f>'Gruppe B'!W124</f>
        <v>0.5</v>
      </c>
      <c r="C375" s="1253">
        <f>'Gruppe B'!BC46</f>
        <v>0.5</v>
      </c>
      <c r="D375" s="1043">
        <f>'Gruppe B'!Y151</f>
        <v>0</v>
      </c>
      <c r="E375" s="989">
        <f>'Gruppe B'!BS46</f>
        <v>0</v>
      </c>
      <c r="F375" s="1043">
        <f>'Gruppe B'!AS46</f>
        <v>0</v>
      </c>
      <c r="G375" s="989">
        <f>'Gruppe B'!Z100</f>
        <v>0</v>
      </c>
      <c r="H375" s="1252">
        <f>'Gruppe B'!AF46</f>
        <v>1</v>
      </c>
      <c r="I375" s="989">
        <f>'Gruppe B'!Z69</f>
        <v>0</v>
      </c>
      <c r="J375" s="1039"/>
      <c r="K375" s="1253"/>
      <c r="L375" s="1039"/>
      <c r="M375" s="1255"/>
      <c r="N375" s="1253">
        <f>'Spiel 7 - Viertelfinal'!E26</f>
        <v>0.5</v>
      </c>
      <c r="O375" s="1253">
        <f>'Spiel 7 - Viertelfinal'!Y26</f>
        <v>1</v>
      </c>
      <c r="P375" s="1084">
        <f>'Spiel 7 - Viertelfinal'!AE26</f>
        <v>0.5</v>
      </c>
      <c r="Q375" s="1084">
        <f>'Spiel 7 - Viertelfinal'!AY26</f>
        <v>0.5</v>
      </c>
      <c r="R375" s="1084"/>
      <c r="S375" s="1084"/>
      <c r="T375" s="1084"/>
      <c r="U375" s="1253"/>
      <c r="V375" s="1181"/>
      <c r="W375" s="1181"/>
      <c r="X375" s="1181"/>
      <c r="Y375" s="1181"/>
      <c r="Z375" s="1181"/>
      <c r="AA375" s="1181"/>
      <c r="AB375" s="1182"/>
      <c r="AC375" s="996">
        <f>AC374/AC373</f>
        <v>0.36</v>
      </c>
    </row>
    <row r="376" spans="1:29" hidden="1" outlineLevel="1">
      <c r="A376" s="971" t="s">
        <v>5</v>
      </c>
      <c r="B376" s="1045">
        <f>'Gruppe B'!W125</f>
        <v>3.5</v>
      </c>
      <c r="C376" s="1088">
        <f>'Gruppe B'!BC47</f>
        <v>2</v>
      </c>
      <c r="D376" s="1047">
        <f>'Gruppe B'!Y152</f>
        <v>5.5</v>
      </c>
      <c r="E376" s="1050">
        <f>'Gruppe B'!BS47</f>
        <v>10</v>
      </c>
      <c r="F376" s="1124">
        <f>'Gruppe B'!AS47</f>
        <v>8</v>
      </c>
      <c r="G376" s="1049">
        <f>'Gruppe B'!Z101</f>
        <v>5</v>
      </c>
      <c r="H376" s="1047">
        <f>'Gruppe B'!AF47</f>
        <v>0</v>
      </c>
      <c r="I376" s="1048">
        <f>'Gruppe B'!Z70</f>
        <v>8.5</v>
      </c>
      <c r="J376" s="1045"/>
      <c r="K376" s="1046"/>
      <c r="L376" s="1047"/>
      <c r="M376" s="1050"/>
      <c r="N376" s="1088">
        <f>'Spiel 7 - Viertelfinal'!E27</f>
        <v>3</v>
      </c>
      <c r="O376" s="1088">
        <f>'Spiel 7 - Viertelfinal'!Y27</f>
        <v>0</v>
      </c>
      <c r="P376" s="1088">
        <f>'Spiel 7 - Viertelfinal'!AE27</f>
        <v>2.25</v>
      </c>
      <c r="Q376" s="1088">
        <f>'Spiel 7 - Viertelfinal'!AY27</f>
        <v>1</v>
      </c>
      <c r="R376" s="1088"/>
      <c r="S376" s="1088"/>
      <c r="T376" s="1088"/>
      <c r="U376" s="1088"/>
      <c r="V376" s="1183"/>
      <c r="W376" s="1183"/>
      <c r="X376" s="1183"/>
      <c r="Y376" s="1183"/>
      <c r="Z376" s="1183"/>
      <c r="AA376" s="1183"/>
      <c r="AB376" s="1184"/>
      <c r="AC376" s="1002">
        <f>AC372/AC373</f>
        <v>4.24</v>
      </c>
    </row>
    <row r="377" spans="1:29" hidden="1" outlineLevel="1">
      <c r="A377" s="1003" t="s">
        <v>8</v>
      </c>
      <c r="B377" s="1053">
        <f>'Gruppe B'!W126</f>
        <v>7</v>
      </c>
      <c r="C377" s="1091">
        <f>'Gruppe B'!BC48</f>
        <v>4</v>
      </c>
      <c r="D377" s="1055">
        <f>'Gruppe B'!Y153</f>
        <v>5.5</v>
      </c>
      <c r="E377" s="1058">
        <f>'Gruppe B'!BS48</f>
        <v>10</v>
      </c>
      <c r="F377" s="1091">
        <f>'Gruppe B'!AS48</f>
        <v>8</v>
      </c>
      <c r="G377" s="1057">
        <f>'Gruppe B'!Z102</f>
        <v>5</v>
      </c>
      <c r="H377" s="1055">
        <f>'Gruppe B'!AF48</f>
        <v>0</v>
      </c>
      <c r="I377" s="1056">
        <f>'Gruppe B'!Z71</f>
        <v>8.5</v>
      </c>
      <c r="J377" s="1053"/>
      <c r="K377" s="1054"/>
      <c r="L377" s="1055"/>
      <c r="M377" s="1058"/>
      <c r="N377" s="1091">
        <f>'Spiel 7 - Viertelfinal'!E28</f>
        <v>6</v>
      </c>
      <c r="O377" s="1091">
        <f>'Spiel 7 - Viertelfinal'!Y28</f>
        <v>0</v>
      </c>
      <c r="P377" s="1091">
        <f>'Spiel 7 - Viertelfinal'!AE28</f>
        <v>4.5</v>
      </c>
      <c r="Q377" s="1091">
        <f>'Spiel 7 - Viertelfinal'!AY28</f>
        <v>2</v>
      </c>
      <c r="R377" s="1091"/>
      <c r="S377" s="1091"/>
      <c r="T377" s="1091"/>
      <c r="U377" s="1091"/>
      <c r="V377" s="1185"/>
      <c r="W377" s="1185"/>
      <c r="X377" s="1185"/>
      <c r="Y377" s="1185"/>
      <c r="Z377" s="1185"/>
      <c r="AA377" s="1185"/>
      <c r="AB377" s="1186"/>
      <c r="AC377" s="1007">
        <f>AC372/(AC373-AC374)</f>
        <v>6.625</v>
      </c>
    </row>
    <row r="378" spans="1:29" ht="3" hidden="1" customHeight="1" outlineLevel="1">
      <c r="B378" s="582"/>
      <c r="C378" s="582"/>
      <c r="D378" s="582"/>
      <c r="E378" s="582"/>
      <c r="F378" s="582"/>
      <c r="G378" s="582"/>
      <c r="H378" s="582"/>
      <c r="I378" s="582"/>
      <c r="J378" s="582"/>
      <c r="K378" s="582"/>
      <c r="L378" s="582"/>
      <c r="M378" s="1025"/>
      <c r="N378" s="582"/>
      <c r="O378" s="582"/>
      <c r="P378" s="582"/>
      <c r="Q378" s="582"/>
      <c r="R378" s="582"/>
      <c r="S378" s="582"/>
      <c r="T378" s="582"/>
      <c r="U378" s="582"/>
    </row>
    <row r="379" spans="1:29" hidden="1" outlineLevel="1">
      <c r="A379" s="1268" t="s">
        <v>94</v>
      </c>
      <c r="B379" s="1147"/>
      <c r="C379" s="1149"/>
      <c r="D379" s="1147"/>
      <c r="E379" s="1149"/>
      <c r="F379" s="1146"/>
      <c r="G379" s="1149"/>
      <c r="H379" s="1147"/>
      <c r="I379" s="1149"/>
      <c r="J379" s="1147"/>
      <c r="K379" s="1149"/>
      <c r="L379" s="1147"/>
      <c r="M379" s="1149"/>
      <c r="N379" s="1022"/>
      <c r="O379" s="1022"/>
      <c r="P379" s="1022"/>
      <c r="Q379" s="1022"/>
      <c r="R379" s="1022"/>
      <c r="S379" s="1022"/>
      <c r="T379" s="1022"/>
      <c r="U379" s="1022"/>
      <c r="V379" s="1022"/>
      <c r="W379" s="1022"/>
      <c r="X379" s="1022"/>
      <c r="Y379" s="1022"/>
      <c r="Z379" s="1022"/>
      <c r="AA379" s="1022"/>
      <c r="AB379" s="1023"/>
      <c r="AC379" s="1178"/>
    </row>
    <row r="380" spans="1:29" hidden="1" outlineLevel="1">
      <c r="A380" s="971" t="s">
        <v>3</v>
      </c>
      <c r="B380" s="1027">
        <f>'Gruppe B'!Y121</f>
        <v>16</v>
      </c>
      <c r="C380" s="113">
        <f>'Gruppe B'!BE43</f>
        <v>6</v>
      </c>
      <c r="D380" s="1028">
        <f>'Gruppe B'!Z148</f>
        <v>8</v>
      </c>
      <c r="E380" s="1029">
        <f>'Gruppe B'!BR43</f>
        <v>8</v>
      </c>
      <c r="F380" s="113"/>
      <c r="G380" s="1031"/>
      <c r="H380" s="1027">
        <f>'Gruppe B'!AC43</f>
        <v>12</v>
      </c>
      <c r="I380" s="1029">
        <f>'Gruppe B'!X66</f>
        <v>5</v>
      </c>
      <c r="J380" s="1028">
        <f>'Gruppe B'!D43</f>
        <v>9</v>
      </c>
      <c r="K380" s="1079">
        <f>'Gruppe B'!X20</f>
        <v>9</v>
      </c>
      <c r="L380" s="1027"/>
      <c r="M380" s="1031"/>
      <c r="N380" s="1079">
        <f>'Spiel 7 - Viertelfinal'!C23</f>
        <v>11</v>
      </c>
      <c r="O380" s="1079">
        <f>'Spiel 7 - Viertelfinal'!W23</f>
        <v>11</v>
      </c>
      <c r="P380" s="1079">
        <f>'Spiel 7 - Viertelfinal'!AC23</f>
        <v>-7</v>
      </c>
      <c r="Q380" s="1079">
        <f>'Spiel 7 - Viertelfinal'!AW23</f>
        <v>12</v>
      </c>
      <c r="R380" s="1079"/>
      <c r="S380" s="1079"/>
      <c r="T380" s="1079"/>
      <c r="U380" s="1079"/>
      <c r="V380" s="1179"/>
      <c r="W380" s="1179"/>
      <c r="X380" s="1179"/>
      <c r="Y380" s="1179"/>
      <c r="Z380" s="1179"/>
      <c r="AA380" s="1179"/>
      <c r="AB380" s="1180"/>
      <c r="AC380" s="979">
        <f>SUM(B380:AB380)</f>
        <v>100</v>
      </c>
    </row>
    <row r="381" spans="1:29" hidden="1" outlineLevel="1">
      <c r="A381" s="971" t="s">
        <v>4</v>
      </c>
      <c r="B381" s="1028">
        <f>'Gruppe B'!Y122</f>
        <v>3</v>
      </c>
      <c r="C381" s="1079">
        <f>'Gruppe B'!BE44</f>
        <v>1</v>
      </c>
      <c r="D381" s="1028">
        <f>'Gruppe B'!Z149</f>
        <v>2</v>
      </c>
      <c r="E381" s="1031">
        <f>'Gruppe B'!BR44</f>
        <v>3</v>
      </c>
      <c r="F381" s="1079"/>
      <c r="G381" s="1030"/>
      <c r="H381" s="1028">
        <f>'Gruppe B'!AC44</f>
        <v>2</v>
      </c>
      <c r="I381" s="1029">
        <f>'Gruppe B'!X67</f>
        <v>3</v>
      </c>
      <c r="J381" s="1027">
        <f>'Gruppe B'!D44</f>
        <v>2</v>
      </c>
      <c r="K381" s="113">
        <f>'Gruppe B'!X21</f>
        <v>2</v>
      </c>
      <c r="L381" s="1028"/>
      <c r="M381" s="1031"/>
      <c r="N381" s="1079">
        <f>'Spiel 7 - Viertelfinal'!C24</f>
        <v>2</v>
      </c>
      <c r="O381" s="1079">
        <f>'Spiel 7 - Viertelfinal'!W24</f>
        <v>2</v>
      </c>
      <c r="P381" s="1079">
        <f>'Spiel 7 - Viertelfinal'!AC24</f>
        <v>4</v>
      </c>
      <c r="Q381" s="1079">
        <f>'Spiel 7 - Viertelfinal'!AW24</f>
        <v>2</v>
      </c>
      <c r="R381" s="1079"/>
      <c r="S381" s="1079"/>
      <c r="T381" s="1079"/>
      <c r="U381" s="1079"/>
      <c r="V381" s="1179"/>
      <c r="W381" s="1179"/>
      <c r="X381" s="1179"/>
      <c r="Y381" s="1179"/>
      <c r="Z381" s="1179"/>
      <c r="AA381" s="1179"/>
      <c r="AB381" s="1180"/>
      <c r="AC381" s="985">
        <f>SUM(B381:AB381)</f>
        <v>28</v>
      </c>
    </row>
    <row r="382" spans="1:29" hidden="1" outlineLevel="1">
      <c r="A382" s="971" t="s">
        <v>6</v>
      </c>
      <c r="B382" s="972">
        <f>'Gruppe B'!Y123</f>
        <v>0</v>
      </c>
      <c r="C382" s="973">
        <f>'Gruppe B'!BE45</f>
        <v>0</v>
      </c>
      <c r="D382" s="972">
        <f>'Gruppe B'!Z150</f>
        <v>0</v>
      </c>
      <c r="E382" s="115">
        <f>'Gruppe B'!BR45</f>
        <v>1</v>
      </c>
      <c r="F382" s="1250"/>
      <c r="G382" s="1251"/>
      <c r="H382" s="972">
        <f>'Gruppe B'!AC45</f>
        <v>0</v>
      </c>
      <c r="I382" s="115">
        <f>'Gruppe B'!X68</f>
        <v>2</v>
      </c>
      <c r="J382" s="1250">
        <f>'Gruppe B'!D45</f>
        <v>1</v>
      </c>
      <c r="K382" s="973">
        <f>'Gruppe B'!X22</f>
        <v>0</v>
      </c>
      <c r="L382" s="1250"/>
      <c r="M382" s="1254"/>
      <c r="N382" s="973">
        <f>'Spiel 7 - Viertelfinal'!C25</f>
        <v>0</v>
      </c>
      <c r="O382" s="1251">
        <f>'Spiel 7 - Viertelfinal'!W25</f>
        <v>1</v>
      </c>
      <c r="P382" s="973">
        <f>'Spiel 7 - Viertelfinal'!AC25</f>
        <v>0</v>
      </c>
      <c r="Q382" s="973">
        <f>'Spiel 7 - Viertelfinal'!AW25</f>
        <v>0</v>
      </c>
      <c r="R382" s="1079"/>
      <c r="S382" s="1251"/>
      <c r="T382" s="1251"/>
      <c r="U382" s="1251"/>
      <c r="V382" s="1179"/>
      <c r="W382" s="1179"/>
      <c r="X382" s="1179"/>
      <c r="Y382" s="1179"/>
      <c r="Z382" s="1179"/>
      <c r="AA382" s="1179"/>
      <c r="AB382" s="1180"/>
      <c r="AC382" s="987">
        <f>SUM(B382:AB382)</f>
        <v>5</v>
      </c>
    </row>
    <row r="383" spans="1:29" hidden="1" outlineLevel="1">
      <c r="A383" s="971" t="s">
        <v>12</v>
      </c>
      <c r="B383" s="1043">
        <f>'Gruppe B'!Y124</f>
        <v>0</v>
      </c>
      <c r="C383" s="989">
        <f>'Gruppe B'!BE46</f>
        <v>0</v>
      </c>
      <c r="D383" s="1043">
        <f>'Gruppe B'!Z151</f>
        <v>0</v>
      </c>
      <c r="E383" s="1082">
        <f>'Gruppe B'!BR46</f>
        <v>0.33333333333333331</v>
      </c>
      <c r="F383" s="1252"/>
      <c r="G383" s="1253"/>
      <c r="H383" s="1043">
        <f>'Gruppe B'!AC46</f>
        <v>0</v>
      </c>
      <c r="I383" s="1082">
        <f>'Gruppe B'!X69</f>
        <v>0.66666666666666663</v>
      </c>
      <c r="J383" s="1252">
        <f>'Gruppe B'!D46</f>
        <v>0.5</v>
      </c>
      <c r="K383" s="989">
        <f>'Gruppe B'!X23</f>
        <v>0</v>
      </c>
      <c r="L383" s="1252"/>
      <c r="M383" s="1255"/>
      <c r="N383" s="989">
        <f>'Spiel 7 - Viertelfinal'!C26</f>
        <v>0</v>
      </c>
      <c r="O383" s="1253">
        <f>'Spiel 7 - Viertelfinal'!W26</f>
        <v>0.5</v>
      </c>
      <c r="P383" s="989">
        <f>'Spiel 7 - Viertelfinal'!AC26</f>
        <v>0</v>
      </c>
      <c r="Q383" s="989">
        <f>'Spiel 7 - Viertelfinal'!AW26</f>
        <v>0</v>
      </c>
      <c r="R383" s="1084"/>
      <c r="S383" s="1253"/>
      <c r="T383" s="1253"/>
      <c r="U383" s="1253"/>
      <c r="V383" s="1181"/>
      <c r="W383" s="1181"/>
      <c r="X383" s="1181"/>
      <c r="Y383" s="1181"/>
      <c r="Z383" s="1181"/>
      <c r="AA383" s="1181"/>
      <c r="AB383" s="1182"/>
      <c r="AC383" s="996">
        <f>AC382/AC381</f>
        <v>0.17857142857142858</v>
      </c>
    </row>
    <row r="384" spans="1:29" hidden="1" outlineLevel="1">
      <c r="A384" s="971" t="s">
        <v>5</v>
      </c>
      <c r="B384" s="1045">
        <f>'Gruppe B'!Y125</f>
        <v>5.333333333333333</v>
      </c>
      <c r="C384" s="1088">
        <f>'Gruppe B'!BE47</f>
        <v>6</v>
      </c>
      <c r="D384" s="1047">
        <f>'Gruppe B'!Z152</f>
        <v>4</v>
      </c>
      <c r="E384" s="1050">
        <f>'Gruppe B'!BR47</f>
        <v>2.6666666666666665</v>
      </c>
      <c r="F384" s="1124"/>
      <c r="G384" s="1049"/>
      <c r="H384" s="1047">
        <f>'Gruppe B'!AC47</f>
        <v>6</v>
      </c>
      <c r="I384" s="1048">
        <f>'Gruppe B'!X70</f>
        <v>1.6666666666666667</v>
      </c>
      <c r="J384" s="1045">
        <f>'Gruppe B'!D47</f>
        <v>4.5</v>
      </c>
      <c r="K384" s="1046">
        <f>'Gruppe B'!X24</f>
        <v>4.5</v>
      </c>
      <c r="L384" s="1047"/>
      <c r="M384" s="1050"/>
      <c r="N384" s="1088">
        <f>'Spiel 7 - Viertelfinal'!C27</f>
        <v>5.5</v>
      </c>
      <c r="O384" s="1088">
        <f>'Spiel 7 - Viertelfinal'!W27</f>
        <v>5.5</v>
      </c>
      <c r="P384" s="1088">
        <f>'Spiel 7 - Viertelfinal'!AC27</f>
        <v>-1.75</v>
      </c>
      <c r="Q384" s="1088">
        <f>'Spiel 7 - Viertelfinal'!AW27</f>
        <v>6</v>
      </c>
      <c r="R384" s="1088"/>
      <c r="S384" s="1088"/>
      <c r="T384" s="1088"/>
      <c r="U384" s="1088"/>
      <c r="V384" s="1183"/>
      <c r="W384" s="1183"/>
      <c r="X384" s="1183"/>
      <c r="Y384" s="1183"/>
      <c r="Z384" s="1183"/>
      <c r="AA384" s="1183"/>
      <c r="AB384" s="1184"/>
      <c r="AC384" s="1002">
        <f>AC380/AC381</f>
        <v>3.5714285714285716</v>
      </c>
    </row>
    <row r="385" spans="1:29" hidden="1" outlineLevel="1">
      <c r="A385" s="1003" t="s">
        <v>8</v>
      </c>
      <c r="B385" s="1053">
        <f>'Gruppe B'!Y126</f>
        <v>5.333333333333333</v>
      </c>
      <c r="C385" s="1091">
        <f>'Gruppe B'!BE48</f>
        <v>6</v>
      </c>
      <c r="D385" s="1055">
        <f>'Gruppe B'!Z153</f>
        <v>4</v>
      </c>
      <c r="E385" s="1058">
        <f>'Gruppe B'!BR48</f>
        <v>4</v>
      </c>
      <c r="F385" s="1091"/>
      <c r="G385" s="1057"/>
      <c r="H385" s="1055">
        <f>'Gruppe B'!AC48</f>
        <v>6</v>
      </c>
      <c r="I385" s="1056">
        <f>'Gruppe B'!X71</f>
        <v>5</v>
      </c>
      <c r="J385" s="1053">
        <f>'Gruppe B'!D48</f>
        <v>9</v>
      </c>
      <c r="K385" s="1054">
        <f>'Gruppe B'!X25</f>
        <v>4.5</v>
      </c>
      <c r="L385" s="1055"/>
      <c r="M385" s="1058"/>
      <c r="N385" s="1091">
        <f>'Spiel 7 - Viertelfinal'!C28</f>
        <v>5.5</v>
      </c>
      <c r="O385" s="1091">
        <f>'Spiel 7 - Viertelfinal'!W28</f>
        <v>11</v>
      </c>
      <c r="P385" s="1091">
        <f>'Spiel 7 - Viertelfinal'!AC28</f>
        <v>-1.75</v>
      </c>
      <c r="Q385" s="1091">
        <f>'Spiel 7 - Viertelfinal'!AW28</f>
        <v>6</v>
      </c>
      <c r="R385" s="1091"/>
      <c r="S385" s="1091"/>
      <c r="T385" s="1091"/>
      <c r="U385" s="1091"/>
      <c r="V385" s="1185"/>
      <c r="W385" s="1185"/>
      <c r="X385" s="1185"/>
      <c r="Y385" s="1185"/>
      <c r="Z385" s="1185"/>
      <c r="AA385" s="1185"/>
      <c r="AB385" s="1186"/>
      <c r="AC385" s="1007">
        <f>AC380/(AC381-AC382)</f>
        <v>4.3478260869565215</v>
      </c>
    </row>
    <row r="386" spans="1:29" ht="3" hidden="1" customHeight="1" outlineLevel="1">
      <c r="B386" s="582"/>
      <c r="C386" s="582"/>
      <c r="D386" s="582"/>
      <c r="E386" s="582"/>
      <c r="F386" s="582"/>
      <c r="G386" s="582"/>
      <c r="H386" s="582"/>
      <c r="I386" s="582"/>
      <c r="J386" s="582"/>
      <c r="K386" s="582"/>
      <c r="L386" s="582"/>
      <c r="M386" s="1025"/>
      <c r="N386" s="582"/>
      <c r="O386" s="582"/>
      <c r="P386" s="582"/>
      <c r="Q386" s="582"/>
      <c r="R386" s="582"/>
      <c r="S386" s="582"/>
      <c r="T386" s="582"/>
      <c r="U386" s="582"/>
    </row>
    <row r="387" spans="1:29" hidden="1" outlineLevel="1">
      <c r="A387" s="1020" t="s">
        <v>168</v>
      </c>
      <c r="B387" s="1147"/>
      <c r="C387" s="1149"/>
      <c r="D387" s="1147"/>
      <c r="E387" s="1149"/>
      <c r="F387" s="1147"/>
      <c r="G387" s="1149"/>
      <c r="H387" s="1147"/>
      <c r="I387" s="1149"/>
      <c r="J387" s="1147"/>
      <c r="K387" s="1149"/>
      <c r="L387" s="1147"/>
      <c r="M387" s="1149"/>
      <c r="N387" s="1022"/>
      <c r="O387" s="1022"/>
      <c r="P387" s="1022"/>
      <c r="Q387" s="1022"/>
      <c r="R387" s="1022"/>
      <c r="S387" s="1022"/>
      <c r="T387" s="1022"/>
      <c r="U387" s="1022"/>
      <c r="V387" s="1022"/>
      <c r="W387" s="1022"/>
      <c r="X387" s="1022"/>
      <c r="Y387" s="1022"/>
      <c r="Z387" s="1022"/>
      <c r="AA387" s="1022"/>
      <c r="AB387" s="1023"/>
      <c r="AC387" s="1178"/>
    </row>
    <row r="388" spans="1:29" hidden="1" outlineLevel="1">
      <c r="A388" s="971" t="s">
        <v>3</v>
      </c>
      <c r="B388" s="1027"/>
      <c r="C388" s="113"/>
      <c r="D388" s="1028">
        <f>'Gruppe B'!X148</f>
        <v>16</v>
      </c>
      <c r="E388" s="1029">
        <f>'Gruppe B'!BQ43</f>
        <v>4</v>
      </c>
      <c r="F388" s="113">
        <f>'Gruppe B'!AQ43</f>
        <v>14</v>
      </c>
      <c r="G388" s="1031">
        <f>'Gruppe B'!X97</f>
        <v>4</v>
      </c>
      <c r="H388" s="1027">
        <f>'Gruppe B'!AE43</f>
        <v>3</v>
      </c>
      <c r="I388" s="1029">
        <f>'Gruppe B'!Y66</f>
        <v>2</v>
      </c>
      <c r="J388" s="1028">
        <f>'Gruppe B'!F43</f>
        <v>9</v>
      </c>
      <c r="K388" s="1079">
        <f>'Gruppe B'!Z20</f>
        <v>2</v>
      </c>
      <c r="L388" s="1027"/>
      <c r="M388" s="1031"/>
      <c r="N388" s="1079"/>
      <c r="O388" s="1079"/>
      <c r="P388" s="1079"/>
      <c r="Q388" s="1079"/>
      <c r="R388" s="1079"/>
      <c r="S388" s="1079"/>
      <c r="T388" s="1079"/>
      <c r="U388" s="1079"/>
      <c r="V388" s="1179"/>
      <c r="W388" s="1179"/>
      <c r="X388" s="1179"/>
      <c r="Y388" s="1179"/>
      <c r="Z388" s="1179"/>
      <c r="AA388" s="1179"/>
      <c r="AB388" s="1180"/>
      <c r="AC388" s="979">
        <f>SUM(B388:AB388)</f>
        <v>54</v>
      </c>
    </row>
    <row r="389" spans="1:29" hidden="1" outlineLevel="1">
      <c r="A389" s="971" t="s">
        <v>4</v>
      </c>
      <c r="B389" s="1028"/>
      <c r="C389" s="1079"/>
      <c r="D389" s="1028">
        <f>'Gruppe B'!X149</f>
        <v>3</v>
      </c>
      <c r="E389" s="1031">
        <f>'Gruppe B'!BQ44</f>
        <v>3</v>
      </c>
      <c r="F389" s="1079">
        <f>'Gruppe B'!AQ44</f>
        <v>2</v>
      </c>
      <c r="G389" s="1030">
        <f>'Gruppe B'!X98</f>
        <v>2</v>
      </c>
      <c r="H389" s="1028">
        <f>'Gruppe B'!AE44</f>
        <v>1</v>
      </c>
      <c r="I389" s="1029">
        <f>'Gruppe B'!Y67</f>
        <v>2</v>
      </c>
      <c r="J389" s="1027">
        <f>'Gruppe B'!F44</f>
        <v>2</v>
      </c>
      <c r="K389" s="113">
        <f>'Gruppe B'!Z21</f>
        <v>1</v>
      </c>
      <c r="L389" s="1028"/>
      <c r="M389" s="1031"/>
      <c r="N389" s="1079"/>
      <c r="O389" s="1079"/>
      <c r="P389" s="1079"/>
      <c r="Q389" s="1079"/>
      <c r="R389" s="1079"/>
      <c r="S389" s="1079"/>
      <c r="T389" s="1079"/>
      <c r="U389" s="1079"/>
      <c r="V389" s="1179"/>
      <c r="W389" s="1179"/>
      <c r="X389" s="1179"/>
      <c r="Y389" s="1179"/>
      <c r="Z389" s="1179"/>
      <c r="AA389" s="1179"/>
      <c r="AB389" s="1180"/>
      <c r="AC389" s="985">
        <f>SUM(B389:AB389)</f>
        <v>16</v>
      </c>
    </row>
    <row r="390" spans="1:29" hidden="1" outlineLevel="1">
      <c r="A390" s="971" t="s">
        <v>6</v>
      </c>
      <c r="B390" s="1028"/>
      <c r="C390" s="1251"/>
      <c r="D390" s="972">
        <f>'Gruppe B'!X150</f>
        <v>0</v>
      </c>
      <c r="E390" s="115">
        <f>'Gruppe B'!BQ45</f>
        <v>2</v>
      </c>
      <c r="F390" s="972">
        <f>'Gruppe B'!AQ45</f>
        <v>0</v>
      </c>
      <c r="G390" s="973">
        <f>'Gruppe B'!X99</f>
        <v>0</v>
      </c>
      <c r="H390" s="972">
        <f>'Gruppe B'!AE45</f>
        <v>0</v>
      </c>
      <c r="I390" s="115">
        <f>'Gruppe B'!Y68</f>
        <v>1</v>
      </c>
      <c r="J390" s="1028">
        <f>'Gruppe B'!F45</f>
        <v>1</v>
      </c>
      <c r="K390" s="973">
        <f>'Gruppe B'!Z22</f>
        <v>0</v>
      </c>
      <c r="L390" s="1250"/>
      <c r="M390" s="1254"/>
      <c r="N390" s="1251"/>
      <c r="O390" s="1251"/>
      <c r="P390" s="1079"/>
      <c r="Q390" s="1079"/>
      <c r="R390" s="1079"/>
      <c r="S390" s="1251"/>
      <c r="T390" s="1251"/>
      <c r="U390" s="1251"/>
      <c r="V390" s="1179"/>
      <c r="W390" s="1179"/>
      <c r="X390" s="1179"/>
      <c r="Y390" s="1179"/>
      <c r="Z390" s="1179"/>
      <c r="AA390" s="1179"/>
      <c r="AB390" s="1180"/>
      <c r="AC390" s="987">
        <f>SUM(B390:AB390)</f>
        <v>4</v>
      </c>
    </row>
    <row r="391" spans="1:29" hidden="1" outlineLevel="1">
      <c r="A391" s="971" t="s">
        <v>12</v>
      </c>
      <c r="B391" s="1039"/>
      <c r="C391" s="1253"/>
      <c r="D391" s="1043">
        <f>'Gruppe B'!X151</f>
        <v>0</v>
      </c>
      <c r="E391" s="1082">
        <f>'Gruppe B'!BQ46</f>
        <v>0.66666666666666663</v>
      </c>
      <c r="F391" s="1043">
        <f>'Gruppe B'!AQ46</f>
        <v>0</v>
      </c>
      <c r="G391" s="989">
        <f>'Gruppe B'!X100</f>
        <v>0</v>
      </c>
      <c r="H391" s="1043">
        <f>'Gruppe B'!AE46</f>
        <v>0</v>
      </c>
      <c r="I391" s="1082">
        <f>'Gruppe B'!Y69</f>
        <v>0.5</v>
      </c>
      <c r="J391" s="1039">
        <f>'Gruppe B'!F46</f>
        <v>0.5</v>
      </c>
      <c r="K391" s="989">
        <f>'Gruppe B'!Z23</f>
        <v>0</v>
      </c>
      <c r="L391" s="1252"/>
      <c r="M391" s="1255"/>
      <c r="N391" s="1253"/>
      <c r="O391" s="1253"/>
      <c r="P391" s="1084"/>
      <c r="Q391" s="1084"/>
      <c r="R391" s="1084"/>
      <c r="S391" s="1253"/>
      <c r="T391" s="1253"/>
      <c r="U391" s="1253"/>
      <c r="V391" s="1181"/>
      <c r="W391" s="1181"/>
      <c r="X391" s="1181"/>
      <c r="Y391" s="1181"/>
      <c r="Z391" s="1181"/>
      <c r="AA391" s="1181"/>
      <c r="AB391" s="1182"/>
      <c r="AC391" s="996">
        <f>AC390/AC389</f>
        <v>0.25</v>
      </c>
    </row>
    <row r="392" spans="1:29" hidden="1" outlineLevel="1">
      <c r="A392" s="971" t="s">
        <v>5</v>
      </c>
      <c r="B392" s="1024"/>
      <c r="C392" s="1025"/>
      <c r="D392" s="1113">
        <f>'Gruppe B'!X152</f>
        <v>5.333333333333333</v>
      </c>
      <c r="E392" s="1114">
        <f>'Gruppe B'!BQ47</f>
        <v>1.3333333333333333</v>
      </c>
      <c r="F392" s="1024">
        <f>'Gruppe B'!AQ47</f>
        <v>7</v>
      </c>
      <c r="G392" s="1025">
        <f>'Gruppe B'!X101</f>
        <v>2</v>
      </c>
      <c r="H392" s="1047">
        <f>'Gruppe B'!AE47</f>
        <v>3</v>
      </c>
      <c r="I392" s="1048">
        <f>'Gruppe B'!Y70</f>
        <v>1</v>
      </c>
      <c r="J392" s="1045">
        <f>'Gruppe B'!F47</f>
        <v>4.5</v>
      </c>
      <c r="K392" s="1046">
        <f>'Gruppe B'!Z24</f>
        <v>2</v>
      </c>
      <c r="L392" s="1047"/>
      <c r="M392" s="1050"/>
      <c r="N392" s="1088"/>
      <c r="O392" s="1088"/>
      <c r="P392" s="1088"/>
      <c r="Q392" s="1088"/>
      <c r="R392" s="1088"/>
      <c r="S392" s="1088"/>
      <c r="T392" s="1088"/>
      <c r="U392" s="1088"/>
      <c r="V392" s="1183"/>
      <c r="W392" s="1183"/>
      <c r="X392" s="1183"/>
      <c r="Y392" s="1183"/>
      <c r="Z392" s="1183"/>
      <c r="AA392" s="1183"/>
      <c r="AB392" s="1184"/>
      <c r="AC392" s="1002">
        <f>AC388/AC389</f>
        <v>3.375</v>
      </c>
    </row>
    <row r="393" spans="1:29" hidden="1" outlineLevel="1">
      <c r="A393" s="1003" t="s">
        <v>8</v>
      </c>
      <c r="B393" s="1269"/>
      <c r="C393" s="1270"/>
      <c r="D393" s="1271">
        <f>'Gruppe B'!X153</f>
        <v>5.333333333333333</v>
      </c>
      <c r="E393" s="1272">
        <f>'Gruppe B'!BQ48</f>
        <v>4</v>
      </c>
      <c r="F393" s="1269">
        <f>'Gruppe B'!AQ48</f>
        <v>7</v>
      </c>
      <c r="G393" s="1270">
        <f>'Gruppe B'!X102</f>
        <v>2</v>
      </c>
      <c r="H393" s="1055">
        <f>'Gruppe B'!AE48</f>
        <v>3</v>
      </c>
      <c r="I393" s="1056">
        <f>'Gruppe B'!Y71</f>
        <v>2</v>
      </c>
      <c r="J393" s="1053">
        <f>'Gruppe B'!F48</f>
        <v>9</v>
      </c>
      <c r="K393" s="1054">
        <f>'Gruppe B'!Z25</f>
        <v>2</v>
      </c>
      <c r="L393" s="1055"/>
      <c r="M393" s="1058"/>
      <c r="N393" s="1091"/>
      <c r="O393" s="1091"/>
      <c r="P393" s="1091"/>
      <c r="Q393" s="1091"/>
      <c r="R393" s="1091"/>
      <c r="S393" s="1091"/>
      <c r="T393" s="1091"/>
      <c r="U393" s="1091"/>
      <c r="V393" s="1185"/>
      <c r="W393" s="1185"/>
      <c r="X393" s="1185"/>
      <c r="Y393" s="1185"/>
      <c r="Z393" s="1185"/>
      <c r="AA393" s="1185"/>
      <c r="AB393" s="1186"/>
      <c r="AC393" s="1007">
        <f>AC388/(AC389-AC390)</f>
        <v>4.5</v>
      </c>
    </row>
    <row r="394" spans="1:29" ht="3" hidden="1" customHeight="1" outlineLevel="1">
      <c r="B394" s="582"/>
      <c r="C394" s="582"/>
      <c r="D394" s="582"/>
      <c r="E394" s="582"/>
      <c r="F394" s="582"/>
      <c r="G394" s="582"/>
      <c r="H394" s="582"/>
      <c r="I394" s="582"/>
      <c r="J394" s="582"/>
      <c r="K394" s="582"/>
      <c r="L394" s="582"/>
      <c r="M394" s="1025"/>
      <c r="N394" s="582"/>
      <c r="O394" s="582"/>
      <c r="P394" s="582"/>
      <c r="Q394" s="582"/>
      <c r="R394" s="582"/>
      <c r="S394" s="582"/>
      <c r="T394" s="582"/>
      <c r="U394" s="582"/>
    </row>
    <row r="395" spans="1:29" hidden="1" outlineLevel="1">
      <c r="A395" s="1178" t="s">
        <v>95</v>
      </c>
      <c r="B395" s="1147"/>
      <c r="C395" s="1146"/>
      <c r="D395" s="1147"/>
      <c r="E395" s="1149"/>
      <c r="F395" s="1146"/>
      <c r="G395" s="1149"/>
      <c r="H395" s="1147"/>
      <c r="I395" s="1149"/>
      <c r="J395" s="1147"/>
      <c r="K395" s="1149"/>
      <c r="L395" s="1147"/>
      <c r="M395" s="1149"/>
      <c r="N395" s="1022"/>
      <c r="O395" s="1022"/>
      <c r="P395" s="1022"/>
      <c r="Q395" s="1022"/>
      <c r="R395" s="1022"/>
      <c r="S395" s="1022"/>
      <c r="T395" s="1022"/>
      <c r="U395" s="1022"/>
      <c r="V395" s="1022"/>
      <c r="W395" s="1022"/>
      <c r="X395" s="1022"/>
      <c r="Y395" s="1022"/>
      <c r="Z395" s="1022"/>
      <c r="AA395" s="1022"/>
      <c r="AB395" s="1023"/>
      <c r="AC395" s="1178"/>
    </row>
    <row r="396" spans="1:29" hidden="1" outlineLevel="1">
      <c r="A396" s="971" t="s">
        <v>3</v>
      </c>
      <c r="B396" s="1027">
        <f>'Gruppe B'!X121</f>
        <v>11</v>
      </c>
      <c r="C396" s="113">
        <f>'Gruppe B'!BD43</f>
        <v>7</v>
      </c>
      <c r="D396" s="1028">
        <f>'Gruppe B'!W148</f>
        <v>15</v>
      </c>
      <c r="E396" s="1029">
        <f>'Gruppe B'!BP43</f>
        <v>8</v>
      </c>
      <c r="F396" s="113">
        <f>'Gruppe B'!AR43</f>
        <v>10</v>
      </c>
      <c r="G396" s="1031">
        <f>'Gruppe B'!Y97</f>
        <v>8</v>
      </c>
      <c r="H396" s="1027"/>
      <c r="I396" s="1029"/>
      <c r="J396" s="1028">
        <f>'Gruppe B'!C43</f>
        <v>22</v>
      </c>
      <c r="K396" s="1079">
        <f>'Gruppe B'!W20</f>
        <v>9</v>
      </c>
      <c r="L396" s="1027"/>
      <c r="M396" s="1031"/>
      <c r="N396" s="1079">
        <f>'Spiel 7 - Viertelfinal'!D23</f>
        <v>4</v>
      </c>
      <c r="O396" s="1079">
        <f>'Spiel 7 - Viertelfinal'!X23</f>
        <v>2</v>
      </c>
      <c r="P396" s="1079">
        <f>'Spiel 7 - Viertelfinal'!AD23</f>
        <v>19</v>
      </c>
      <c r="Q396" s="1079">
        <f>'Spiel 7 - Viertelfinal'!AX23</f>
        <v>9</v>
      </c>
      <c r="R396" s="1079"/>
      <c r="S396" s="1079"/>
      <c r="T396" s="1079"/>
      <c r="U396" s="1079"/>
      <c r="V396" s="1079"/>
      <c r="W396" s="1079"/>
      <c r="X396" s="1079"/>
      <c r="Y396" s="1079"/>
      <c r="Z396" s="1079"/>
      <c r="AA396" s="1079"/>
      <c r="AB396" s="1030"/>
      <c r="AC396" s="979">
        <f>SUM(B396:AB396)</f>
        <v>124</v>
      </c>
    </row>
    <row r="397" spans="1:29" hidden="1" outlineLevel="1">
      <c r="A397" s="971" t="s">
        <v>4</v>
      </c>
      <c r="B397" s="1028">
        <f>'Gruppe B'!X122</f>
        <v>3</v>
      </c>
      <c r="C397" s="1079">
        <f>'Gruppe B'!BD44</f>
        <v>2</v>
      </c>
      <c r="D397" s="1028">
        <f>'Gruppe B'!W149</f>
        <v>3</v>
      </c>
      <c r="E397" s="1031">
        <f>'Gruppe B'!BP44</f>
        <v>3</v>
      </c>
      <c r="F397" s="1079">
        <f>'Gruppe B'!AR44</f>
        <v>2</v>
      </c>
      <c r="G397" s="1030">
        <f>'Gruppe B'!Y98</f>
        <v>1</v>
      </c>
      <c r="H397" s="1028"/>
      <c r="I397" s="1029"/>
      <c r="J397" s="1027">
        <f>'Gruppe B'!C44</f>
        <v>3</v>
      </c>
      <c r="K397" s="113">
        <f>'Gruppe B'!W21</f>
        <v>2</v>
      </c>
      <c r="L397" s="1028"/>
      <c r="M397" s="1031"/>
      <c r="N397" s="1079">
        <f>'Spiel 7 - Viertelfinal'!D24</f>
        <v>2</v>
      </c>
      <c r="O397" s="1079">
        <f>'Spiel 7 - Viertelfinal'!X24</f>
        <v>1</v>
      </c>
      <c r="P397" s="1079">
        <f>'Spiel 7 - Viertelfinal'!AD24</f>
        <v>4</v>
      </c>
      <c r="Q397" s="1079">
        <f>'Spiel 7 - Viertelfinal'!AX24</f>
        <v>2</v>
      </c>
      <c r="R397" s="1079"/>
      <c r="S397" s="1079"/>
      <c r="T397" s="1079"/>
      <c r="U397" s="1079"/>
      <c r="V397" s="1079"/>
      <c r="W397" s="1079"/>
      <c r="X397" s="1079"/>
      <c r="Y397" s="1079"/>
      <c r="Z397" s="1079"/>
      <c r="AA397" s="1079"/>
      <c r="AB397" s="1030"/>
      <c r="AC397" s="985">
        <f>SUM(B397:AB397)</f>
        <v>28</v>
      </c>
    </row>
    <row r="398" spans="1:29" hidden="1" outlineLevel="1">
      <c r="A398" s="971" t="s">
        <v>6</v>
      </c>
      <c r="B398" s="1028">
        <f>'Gruppe B'!X123</f>
        <v>2</v>
      </c>
      <c r="C398" s="1251">
        <f>'Gruppe B'!BD45</f>
        <v>1</v>
      </c>
      <c r="D398" s="1250">
        <f>'Gruppe B'!W150</f>
        <v>1</v>
      </c>
      <c r="E398" s="115">
        <f>'Gruppe B'!BP45</f>
        <v>2</v>
      </c>
      <c r="F398" s="972">
        <f>'Gruppe B'!AR45</f>
        <v>0</v>
      </c>
      <c r="G398" s="973">
        <f>'Gruppe B'!Y99</f>
        <v>0</v>
      </c>
      <c r="H398" s="1028"/>
      <c r="I398" s="115"/>
      <c r="J398" s="972">
        <f>'Gruppe B'!C45</f>
        <v>0</v>
      </c>
      <c r="K398" s="1251">
        <f>'Gruppe B'!W22</f>
        <v>1</v>
      </c>
      <c r="L398" s="1250"/>
      <c r="M398" s="1030"/>
      <c r="N398" s="1251">
        <f>'Spiel 7 - Viertelfinal'!D25</f>
        <v>1</v>
      </c>
      <c r="O398" s="973">
        <f>'Spiel 7 - Viertelfinal'!X25</f>
        <v>0</v>
      </c>
      <c r="P398" s="973">
        <f>'Spiel 7 - Viertelfinal'!AD25</f>
        <v>0</v>
      </c>
      <c r="Q398" s="973">
        <f>'Spiel 7 - Viertelfinal'!AX25</f>
        <v>0</v>
      </c>
      <c r="R398" s="1079"/>
      <c r="S398" s="1079"/>
      <c r="T398" s="1251"/>
      <c r="U398" s="1251"/>
      <c r="V398" s="1079"/>
      <c r="W398" s="1079"/>
      <c r="X398" s="1079"/>
      <c r="Y398" s="1079"/>
      <c r="Z398" s="1079"/>
      <c r="AA398" s="1079"/>
      <c r="AB398" s="1030"/>
      <c r="AC398" s="987">
        <f>SUM(B398:AB398)</f>
        <v>8</v>
      </c>
    </row>
    <row r="399" spans="1:29" hidden="1" outlineLevel="1">
      <c r="A399" s="971" t="s">
        <v>12</v>
      </c>
      <c r="B399" s="1039">
        <f>'Gruppe B'!X124</f>
        <v>0.66666666666666663</v>
      </c>
      <c r="C399" s="1253">
        <f>'Gruppe B'!BD46</f>
        <v>0.5</v>
      </c>
      <c r="D399" s="1252">
        <f>'Gruppe B'!W151</f>
        <v>0.33333333333333331</v>
      </c>
      <c r="E399" s="1082">
        <f>'Gruppe B'!BP46</f>
        <v>0.66666666666666663</v>
      </c>
      <c r="F399" s="1043">
        <f>'Gruppe B'!AR46</f>
        <v>0</v>
      </c>
      <c r="G399" s="989">
        <f>'Gruppe B'!Y100</f>
        <v>0</v>
      </c>
      <c r="H399" s="1039"/>
      <c r="I399" s="1082"/>
      <c r="J399" s="1043">
        <f>'Gruppe B'!C46</f>
        <v>0</v>
      </c>
      <c r="K399" s="1253">
        <f>'Gruppe B'!W23</f>
        <v>0.5</v>
      </c>
      <c r="L399" s="1252"/>
      <c r="M399" s="1086"/>
      <c r="N399" s="1253">
        <f>'Spiel 7 - Viertelfinal'!D26</f>
        <v>0.5</v>
      </c>
      <c r="O399" s="989">
        <f>'Spiel 7 - Viertelfinal'!X26</f>
        <v>0</v>
      </c>
      <c r="P399" s="989">
        <f>'Spiel 7 - Viertelfinal'!AD26</f>
        <v>0</v>
      </c>
      <c r="Q399" s="989">
        <f>'Spiel 7 - Viertelfinal'!AX26</f>
        <v>0</v>
      </c>
      <c r="R399" s="1084"/>
      <c r="S399" s="1084"/>
      <c r="T399" s="1253"/>
      <c r="U399" s="1253"/>
      <c r="V399" s="1084"/>
      <c r="W399" s="1084"/>
      <c r="X399" s="1084"/>
      <c r="Y399" s="1084"/>
      <c r="Z399" s="1084"/>
      <c r="AA399" s="1084"/>
      <c r="AB399" s="1086"/>
      <c r="AC399" s="996">
        <f>AC398/AC397</f>
        <v>0.2857142857142857</v>
      </c>
    </row>
    <row r="400" spans="1:29" hidden="1" outlineLevel="1">
      <c r="A400" s="971" t="s">
        <v>5</v>
      </c>
      <c r="B400" s="1045">
        <f>'Gruppe B'!X125</f>
        <v>3.6666666666666665</v>
      </c>
      <c r="C400" s="1088">
        <f>'Gruppe B'!BD47</f>
        <v>3.5</v>
      </c>
      <c r="D400" s="1047">
        <f>'Gruppe B'!W152</f>
        <v>5</v>
      </c>
      <c r="E400" s="1050">
        <f>'Gruppe B'!BP47</f>
        <v>2.6666666666666665</v>
      </c>
      <c r="F400" s="1124">
        <f>'Gruppe B'!AR47</f>
        <v>5</v>
      </c>
      <c r="G400" s="1049">
        <f>'Gruppe B'!Y101</f>
        <v>8</v>
      </c>
      <c r="H400" s="1047"/>
      <c r="I400" s="1048"/>
      <c r="J400" s="1045">
        <f>'Gruppe B'!C47</f>
        <v>7.333333333333333</v>
      </c>
      <c r="K400" s="1046">
        <f>'Gruppe B'!W24</f>
        <v>4.5</v>
      </c>
      <c r="L400" s="1047"/>
      <c r="M400" s="1050"/>
      <c r="N400" s="1088">
        <f>'Spiel 7 - Viertelfinal'!D27</f>
        <v>2</v>
      </c>
      <c r="O400" s="1088">
        <f>'Spiel 7 - Viertelfinal'!X27</f>
        <v>2</v>
      </c>
      <c r="P400" s="1088">
        <f>'Spiel 7 - Viertelfinal'!AD27</f>
        <v>4.75</v>
      </c>
      <c r="Q400" s="1088">
        <f>'Spiel 7 - Viertelfinal'!AX27</f>
        <v>4.5</v>
      </c>
      <c r="R400" s="1088"/>
      <c r="S400" s="1088"/>
      <c r="T400" s="1088"/>
      <c r="U400" s="1088"/>
      <c r="V400" s="1088"/>
      <c r="W400" s="1088"/>
      <c r="X400" s="1088"/>
      <c r="Y400" s="1088"/>
      <c r="Z400" s="1088"/>
      <c r="AA400" s="1088"/>
      <c r="AB400" s="1049"/>
      <c r="AC400" s="1002">
        <f>AC396/AC397</f>
        <v>4.4285714285714288</v>
      </c>
    </row>
    <row r="401" spans="1:29" hidden="1" outlineLevel="1">
      <c r="A401" s="1003" t="s">
        <v>8</v>
      </c>
      <c r="B401" s="1053">
        <f>'Gruppe B'!X126</f>
        <v>11</v>
      </c>
      <c r="C401" s="1091">
        <f>'Gruppe B'!BD48</f>
        <v>7</v>
      </c>
      <c r="D401" s="1055">
        <f>'Gruppe B'!W153</f>
        <v>7.5</v>
      </c>
      <c r="E401" s="1058">
        <f>'Gruppe B'!BP48</f>
        <v>8</v>
      </c>
      <c r="F401" s="1091">
        <f>'Gruppe B'!AR48</f>
        <v>5</v>
      </c>
      <c r="G401" s="1057">
        <f>'Gruppe B'!Y102</f>
        <v>8</v>
      </c>
      <c r="H401" s="1055"/>
      <c r="I401" s="1056"/>
      <c r="J401" s="1053">
        <f>'Gruppe B'!C48</f>
        <v>7.333333333333333</v>
      </c>
      <c r="K401" s="1054">
        <f>'Gruppe B'!W25</f>
        <v>9</v>
      </c>
      <c r="L401" s="1055"/>
      <c r="M401" s="1058"/>
      <c r="N401" s="1091">
        <f>'Spiel 7 - Viertelfinal'!D28</f>
        <v>4</v>
      </c>
      <c r="O401" s="1091">
        <f>'Spiel 7 - Viertelfinal'!X28</f>
        <v>2</v>
      </c>
      <c r="P401" s="1091">
        <f>'Spiel 7 - Viertelfinal'!AD28</f>
        <v>4.75</v>
      </c>
      <c r="Q401" s="1091">
        <f>'Spiel 7 - Viertelfinal'!AX28</f>
        <v>4.5</v>
      </c>
      <c r="R401" s="1091"/>
      <c r="S401" s="1091"/>
      <c r="T401" s="1091"/>
      <c r="U401" s="1091"/>
      <c r="V401" s="1091"/>
      <c r="W401" s="1091"/>
      <c r="X401" s="1091"/>
      <c r="Y401" s="1091"/>
      <c r="Z401" s="1091"/>
      <c r="AA401" s="1091"/>
      <c r="AB401" s="1057"/>
      <c r="AC401" s="1007">
        <f>AC396/(AC397-AC398)</f>
        <v>6.2</v>
      </c>
    </row>
    <row r="402" spans="1:29" ht="3" hidden="1" customHeight="1" outlineLevel="1">
      <c r="B402" s="582"/>
      <c r="C402" s="582"/>
      <c r="D402" s="582"/>
      <c r="E402" s="582"/>
      <c r="F402" s="582"/>
      <c r="G402" s="582"/>
      <c r="H402" s="582"/>
      <c r="I402" s="582"/>
      <c r="J402" s="582"/>
      <c r="K402" s="582"/>
      <c r="L402" s="582"/>
      <c r="M402" s="1025"/>
      <c r="N402" s="582"/>
      <c r="O402" s="582"/>
      <c r="P402" s="582"/>
      <c r="Q402" s="582"/>
      <c r="R402" s="582"/>
      <c r="S402" s="582"/>
      <c r="T402" s="582"/>
      <c r="U402" s="582"/>
    </row>
    <row r="403" spans="1:29" hidden="1" outlineLevel="1">
      <c r="A403" s="1178" t="s">
        <v>93</v>
      </c>
      <c r="B403" s="1147"/>
      <c r="C403" s="1146"/>
      <c r="D403" s="1147"/>
      <c r="E403" s="1149"/>
      <c r="F403" s="1146"/>
      <c r="G403" s="1149"/>
      <c r="H403" s="1147"/>
      <c r="I403" s="1149"/>
      <c r="J403" s="1147"/>
      <c r="K403" s="1149"/>
      <c r="L403" s="1147"/>
      <c r="M403" s="1149"/>
      <c r="N403" s="1022"/>
      <c r="O403" s="1022"/>
      <c r="P403" s="1022"/>
      <c r="Q403" s="1022"/>
      <c r="R403" s="1022"/>
      <c r="S403" s="1022"/>
      <c r="T403" s="1022"/>
      <c r="U403" s="1022"/>
      <c r="V403" s="1022"/>
      <c r="W403" s="1022"/>
      <c r="X403" s="1022"/>
      <c r="Y403" s="1022"/>
      <c r="Z403" s="1022"/>
      <c r="AA403" s="1022"/>
      <c r="AB403" s="1023"/>
      <c r="AC403" s="1178"/>
    </row>
    <row r="404" spans="1:29" hidden="1" outlineLevel="1">
      <c r="A404" s="971" t="s">
        <v>3</v>
      </c>
      <c r="B404" s="1027">
        <f>'Gruppe B'!Z121</f>
        <v>9</v>
      </c>
      <c r="C404" s="113">
        <f>'Gruppe B'!BF43</f>
        <v>5</v>
      </c>
      <c r="D404" s="1028"/>
      <c r="E404" s="1029"/>
      <c r="F404" s="113">
        <f>'Gruppe B'!AP43</f>
        <v>18</v>
      </c>
      <c r="G404" s="1031">
        <f>'Gruppe B'!W97</f>
        <v>9</v>
      </c>
      <c r="H404" s="1027">
        <f>'Gruppe B'!AD43</f>
        <v>9</v>
      </c>
      <c r="I404" s="1029">
        <f>'Gruppe B'!W66</f>
        <v>20</v>
      </c>
      <c r="J404" s="1028">
        <f>'Gruppe B'!E43</f>
        <v>9</v>
      </c>
      <c r="K404" s="1079">
        <f>'Gruppe B'!Y20</f>
        <v>14</v>
      </c>
      <c r="L404" s="1027"/>
      <c r="M404" s="1031"/>
      <c r="N404" s="1079">
        <f>'Spiel 7 - Viertelfinal'!B23</f>
        <v>29</v>
      </c>
      <c r="O404" s="1079">
        <f>'Spiel 7 - Viertelfinal'!V23</f>
        <v>21</v>
      </c>
      <c r="P404" s="1079">
        <f>'Spiel 7 - Viertelfinal'!AB23</f>
        <v>25</v>
      </c>
      <c r="Q404" s="1079">
        <f>'Spiel 7 - Viertelfinal'!AV23</f>
        <v>15</v>
      </c>
      <c r="R404" s="1079"/>
      <c r="S404" s="1079"/>
      <c r="T404" s="1079"/>
      <c r="U404" s="1079"/>
      <c r="V404" s="1079"/>
      <c r="W404" s="1079"/>
      <c r="X404" s="1079"/>
      <c r="Y404" s="1079"/>
      <c r="Z404" s="1079"/>
      <c r="AA404" s="1079"/>
      <c r="AB404" s="1030"/>
      <c r="AC404" s="979">
        <f>SUM(B404:AB404)</f>
        <v>183</v>
      </c>
    </row>
    <row r="405" spans="1:29" hidden="1" outlineLevel="1">
      <c r="A405" s="971" t="s">
        <v>4</v>
      </c>
      <c r="B405" s="1028">
        <f>'Gruppe B'!Z122</f>
        <v>3</v>
      </c>
      <c r="C405" s="1079">
        <f>'Gruppe B'!BF44</f>
        <v>1</v>
      </c>
      <c r="D405" s="1028"/>
      <c r="E405" s="1031"/>
      <c r="F405" s="1079">
        <f>'Gruppe B'!AP44</f>
        <v>2</v>
      </c>
      <c r="G405" s="1030">
        <f>'Gruppe B'!W98</f>
        <v>2</v>
      </c>
      <c r="H405" s="1028">
        <f>'Gruppe B'!AD44</f>
        <v>2</v>
      </c>
      <c r="I405" s="1029">
        <f>'Gruppe B'!W67</f>
        <v>3</v>
      </c>
      <c r="J405" s="1027">
        <f>'Gruppe B'!E44</f>
        <v>2</v>
      </c>
      <c r="K405" s="113">
        <f>'Gruppe B'!Y21</f>
        <v>2</v>
      </c>
      <c r="L405" s="1028"/>
      <c r="M405" s="1031"/>
      <c r="N405" s="1079">
        <f>'Spiel 7 - Viertelfinal'!B24</f>
        <v>3</v>
      </c>
      <c r="O405" s="1079">
        <f>'Spiel 7 - Viertelfinal'!V24</f>
        <v>2</v>
      </c>
      <c r="P405" s="1079">
        <f>'Spiel 7 - Viertelfinal'!AB24</f>
        <v>5</v>
      </c>
      <c r="Q405" s="1079">
        <f>'Spiel 7 - Viertelfinal'!AV24</f>
        <v>3</v>
      </c>
      <c r="R405" s="1079"/>
      <c r="S405" s="1079"/>
      <c r="T405" s="1079"/>
      <c r="U405" s="1079"/>
      <c r="V405" s="1079"/>
      <c r="W405" s="1079"/>
      <c r="X405" s="1079"/>
      <c r="Y405" s="1079"/>
      <c r="Z405" s="1079"/>
      <c r="AA405" s="1079"/>
      <c r="AB405" s="1030"/>
      <c r="AC405" s="985">
        <f>SUM(B405:AB405)</f>
        <v>30</v>
      </c>
    </row>
    <row r="406" spans="1:29" hidden="1" outlineLevel="1">
      <c r="A406" s="971" t="s">
        <v>6</v>
      </c>
      <c r="B406" s="1028">
        <f>'Gruppe B'!Z123</f>
        <v>1</v>
      </c>
      <c r="C406" s="973">
        <f>'Gruppe B'!BF45</f>
        <v>0</v>
      </c>
      <c r="D406" s="1250"/>
      <c r="E406" s="115"/>
      <c r="F406" s="972">
        <f>'Gruppe B'!AP45</f>
        <v>0</v>
      </c>
      <c r="G406" s="973">
        <f>'Gruppe B'!W99</f>
        <v>0</v>
      </c>
      <c r="H406" s="972">
        <f>'Gruppe B'!AD45</f>
        <v>0</v>
      </c>
      <c r="I406" s="973">
        <f>'Gruppe B'!W68</f>
        <v>0</v>
      </c>
      <c r="J406" s="1028">
        <f>'Gruppe B'!E45</f>
        <v>1</v>
      </c>
      <c r="K406" s="973">
        <f>'Gruppe B'!Y22</f>
        <v>0</v>
      </c>
      <c r="L406" s="1250"/>
      <c r="M406" s="1030"/>
      <c r="N406" s="973">
        <f>'Spiel 7 - Viertelfinal'!B25</f>
        <v>0</v>
      </c>
      <c r="O406" s="973">
        <f>'Spiel 7 - Viertelfinal'!V25</f>
        <v>0</v>
      </c>
      <c r="P406" s="1079">
        <f>'Spiel 7 - Viertelfinal'!AB25</f>
        <v>1</v>
      </c>
      <c r="Q406" s="973">
        <f>'Spiel 7 - Viertelfinal'!AV25</f>
        <v>0</v>
      </c>
      <c r="R406" s="1079"/>
      <c r="S406" s="1251"/>
      <c r="T406" s="1251"/>
      <c r="U406" s="1251"/>
      <c r="V406" s="1079"/>
      <c r="W406" s="1079"/>
      <c r="X406" s="1079"/>
      <c r="Y406" s="1079"/>
      <c r="Z406" s="1079"/>
      <c r="AA406" s="1079"/>
      <c r="AB406" s="1030"/>
      <c r="AC406" s="987">
        <f>SUM(B406:AB406)</f>
        <v>3</v>
      </c>
    </row>
    <row r="407" spans="1:29" hidden="1" outlineLevel="1">
      <c r="A407" s="971" t="s">
        <v>12</v>
      </c>
      <c r="B407" s="1039">
        <f>'Gruppe B'!Z124</f>
        <v>0.33333333333333331</v>
      </c>
      <c r="C407" s="989">
        <f>'Gruppe B'!BF46</f>
        <v>0</v>
      </c>
      <c r="D407" s="1252"/>
      <c r="E407" s="1082"/>
      <c r="F407" s="1043">
        <f>'Gruppe B'!AP46</f>
        <v>0</v>
      </c>
      <c r="G407" s="989">
        <f>'Gruppe B'!W100</f>
        <v>0</v>
      </c>
      <c r="H407" s="1043">
        <f>'Gruppe B'!AD46</f>
        <v>0</v>
      </c>
      <c r="I407" s="989">
        <f>'Gruppe B'!W69</f>
        <v>0</v>
      </c>
      <c r="J407" s="1039">
        <f>'Gruppe B'!E46</f>
        <v>0.5</v>
      </c>
      <c r="K407" s="989">
        <f>'Gruppe B'!Y23</f>
        <v>0</v>
      </c>
      <c r="L407" s="1252"/>
      <c r="M407" s="1086"/>
      <c r="N407" s="989">
        <f>'Spiel 7 - Viertelfinal'!B26</f>
        <v>0</v>
      </c>
      <c r="O407" s="989">
        <f>'Spiel 7 - Viertelfinal'!V26</f>
        <v>0</v>
      </c>
      <c r="P407" s="1084">
        <f>'Spiel 7 - Viertelfinal'!AB26</f>
        <v>0.2</v>
      </c>
      <c r="Q407" s="989">
        <f>'Spiel 7 - Viertelfinal'!AV26</f>
        <v>0</v>
      </c>
      <c r="R407" s="1084"/>
      <c r="S407" s="1253"/>
      <c r="T407" s="1253"/>
      <c r="U407" s="1253"/>
      <c r="V407" s="1084"/>
      <c r="W407" s="1084"/>
      <c r="X407" s="1084"/>
      <c r="Y407" s="1084"/>
      <c r="Z407" s="1084"/>
      <c r="AA407" s="1084"/>
      <c r="AB407" s="1086"/>
      <c r="AC407" s="996">
        <f>AC406/AC405</f>
        <v>0.1</v>
      </c>
    </row>
    <row r="408" spans="1:29" hidden="1" outlineLevel="1">
      <c r="A408" s="971" t="s">
        <v>5</v>
      </c>
      <c r="B408" s="1045">
        <f>'Gruppe B'!Z125</f>
        <v>3</v>
      </c>
      <c r="C408" s="1088">
        <f>'Gruppe B'!BF47</f>
        <v>5</v>
      </c>
      <c r="D408" s="1047"/>
      <c r="E408" s="1050"/>
      <c r="F408" s="1124">
        <f>'Gruppe B'!AP47</f>
        <v>9</v>
      </c>
      <c r="G408" s="1049">
        <f>'Gruppe B'!W101</f>
        <v>4.5</v>
      </c>
      <c r="H408" s="1047">
        <f>'Gruppe B'!AD47</f>
        <v>4.5</v>
      </c>
      <c r="I408" s="1048">
        <f>'Gruppe B'!W70</f>
        <v>6.666666666666667</v>
      </c>
      <c r="J408" s="1045">
        <f>'Gruppe B'!E47</f>
        <v>4.5</v>
      </c>
      <c r="K408" s="1046">
        <f>'Gruppe B'!Y24</f>
        <v>7</v>
      </c>
      <c r="L408" s="1047"/>
      <c r="M408" s="1050"/>
      <c r="N408" s="1088">
        <f>'Spiel 7 - Viertelfinal'!B27</f>
        <v>9.6666666666666661</v>
      </c>
      <c r="O408" s="1088">
        <f>'Spiel 7 - Viertelfinal'!V27</f>
        <v>10.5</v>
      </c>
      <c r="P408" s="1088">
        <f>'Spiel 7 - Viertelfinal'!AB27</f>
        <v>5</v>
      </c>
      <c r="Q408" s="1088">
        <f>'Spiel 7 - Viertelfinal'!AV27</f>
        <v>5</v>
      </c>
      <c r="R408" s="1088"/>
      <c r="S408" s="1088"/>
      <c r="T408" s="1088"/>
      <c r="U408" s="1088"/>
      <c r="V408" s="1088"/>
      <c r="W408" s="1088"/>
      <c r="X408" s="1088"/>
      <c r="Y408" s="1088"/>
      <c r="Z408" s="1088"/>
      <c r="AA408" s="1088"/>
      <c r="AB408" s="1049"/>
      <c r="AC408" s="1002">
        <f>AC404/AC405</f>
        <v>6.1</v>
      </c>
    </row>
    <row r="409" spans="1:29" hidden="1" outlineLevel="1">
      <c r="A409" s="1003" t="s">
        <v>8</v>
      </c>
      <c r="B409" s="1053">
        <f>'Gruppe B'!Z126</f>
        <v>4.5</v>
      </c>
      <c r="C409" s="1091">
        <f>'Gruppe B'!BF48</f>
        <v>5</v>
      </c>
      <c r="D409" s="1055"/>
      <c r="E409" s="1058"/>
      <c r="F409" s="1091">
        <f>'Gruppe B'!AP48</f>
        <v>9</v>
      </c>
      <c r="G409" s="1057">
        <f>'Gruppe B'!W102</f>
        <v>4.5</v>
      </c>
      <c r="H409" s="1055">
        <f>'Gruppe B'!AD48</f>
        <v>4.5</v>
      </c>
      <c r="I409" s="1056">
        <f>'Gruppe B'!W71</f>
        <v>6.666666666666667</v>
      </c>
      <c r="J409" s="1053">
        <f>'Gruppe B'!E48</f>
        <v>9</v>
      </c>
      <c r="K409" s="1054">
        <f>'Gruppe B'!Y25</f>
        <v>7</v>
      </c>
      <c r="L409" s="1055"/>
      <c r="M409" s="1058"/>
      <c r="N409" s="1091">
        <f>'Spiel 7 - Viertelfinal'!B28</f>
        <v>9.6666666666666661</v>
      </c>
      <c r="O409" s="1091">
        <f>'Spiel 7 - Viertelfinal'!V28</f>
        <v>10.5</v>
      </c>
      <c r="P409" s="1091">
        <f>'Spiel 7 - Viertelfinal'!AB28</f>
        <v>6.25</v>
      </c>
      <c r="Q409" s="1091">
        <f>'Spiel 7 - Viertelfinal'!AV28</f>
        <v>5</v>
      </c>
      <c r="R409" s="1091"/>
      <c r="S409" s="1091"/>
      <c r="T409" s="1091"/>
      <c r="U409" s="1091"/>
      <c r="V409" s="1091"/>
      <c r="W409" s="1091"/>
      <c r="X409" s="1091"/>
      <c r="Y409" s="1091"/>
      <c r="Z409" s="1091"/>
      <c r="AA409" s="1091"/>
      <c r="AB409" s="1057"/>
      <c r="AC409" s="1007">
        <f>AC404/(AC405-AC406)</f>
        <v>6.7777777777777777</v>
      </c>
    </row>
    <row r="410" spans="1:29" ht="3" hidden="1" customHeight="1" outlineLevel="1">
      <c r="M410" s="1129"/>
    </row>
    <row r="411" spans="1:29" collapsed="1">
      <c r="A411" s="1273" t="s">
        <v>145</v>
      </c>
      <c r="B411" s="1274"/>
      <c r="C411" s="1275"/>
      <c r="D411" s="1274"/>
      <c r="E411" s="1276"/>
      <c r="F411" s="1275"/>
      <c r="G411" s="1276"/>
      <c r="H411" s="1274"/>
      <c r="I411" s="1276"/>
      <c r="J411" s="1274"/>
      <c r="K411" s="1276"/>
      <c r="L411" s="1274"/>
      <c r="M411" s="1276"/>
      <c r="N411" s="1275"/>
      <c r="O411" s="1275"/>
      <c r="P411" s="1275"/>
      <c r="Q411" s="1275"/>
      <c r="R411" s="1275"/>
      <c r="S411" s="1275"/>
      <c r="T411" s="1275"/>
      <c r="U411" s="1275"/>
      <c r="V411" s="1275"/>
      <c r="W411" s="1275"/>
      <c r="X411" s="1275"/>
      <c r="Y411" s="1275"/>
      <c r="Z411" s="1275"/>
      <c r="AA411" s="1275"/>
      <c r="AB411" s="1276"/>
      <c r="AC411" s="1273"/>
    </row>
    <row r="412" spans="1:29">
      <c r="A412" s="971" t="s">
        <v>3</v>
      </c>
      <c r="B412" s="982">
        <f>B420+B428+B436+B444</f>
        <v>43</v>
      </c>
      <c r="C412" s="1277">
        <f t="shared" ref="C412:K412" si="123">C420+C428+C436+C444</f>
        <v>0</v>
      </c>
      <c r="D412" s="980">
        <f t="shared" si="123"/>
        <v>50</v>
      </c>
      <c r="E412" s="1104">
        <f t="shared" si="123"/>
        <v>46</v>
      </c>
      <c r="F412" s="1105">
        <f t="shared" si="123"/>
        <v>50</v>
      </c>
      <c r="G412" s="983">
        <f t="shared" si="123"/>
        <v>50</v>
      </c>
      <c r="H412" s="982">
        <f t="shared" si="123"/>
        <v>50</v>
      </c>
      <c r="I412" s="1104">
        <f t="shared" si="123"/>
        <v>32</v>
      </c>
      <c r="J412" s="980">
        <f t="shared" si="123"/>
        <v>36</v>
      </c>
      <c r="K412" s="981">
        <f t="shared" si="123"/>
        <v>43</v>
      </c>
      <c r="L412" s="982"/>
      <c r="M412" s="983"/>
      <c r="N412" s="981">
        <f t="shared" ref="N412:O412" si="124">N420+N428+N436+N444</f>
        <v>50</v>
      </c>
      <c r="O412" s="981">
        <f t="shared" si="124"/>
        <v>50</v>
      </c>
      <c r="P412" s="981"/>
      <c r="Q412" s="981"/>
      <c r="R412" s="981"/>
      <c r="S412" s="981">
        <f t="shared" ref="S412:U412" si="125">S420+S428+S436+S444</f>
        <v>41</v>
      </c>
      <c r="T412" s="981">
        <f t="shared" si="125"/>
        <v>50</v>
      </c>
      <c r="U412" s="981">
        <f t="shared" si="125"/>
        <v>40</v>
      </c>
      <c r="V412" s="1278"/>
      <c r="W412" s="1279"/>
      <c r="X412" s="981"/>
      <c r="Y412" s="981"/>
      <c r="Z412" s="981"/>
      <c r="AA412" s="981"/>
      <c r="AB412" s="984"/>
      <c r="AC412" s="979">
        <f>SUM(B412:AB412)</f>
        <v>631</v>
      </c>
    </row>
    <row r="413" spans="1:29">
      <c r="A413" s="971" t="s">
        <v>4</v>
      </c>
      <c r="B413" s="980">
        <f t="shared" ref="B413:K413" si="126">B421+B429+B437+B445</f>
        <v>13</v>
      </c>
      <c r="C413" s="1280">
        <f t="shared" si="126"/>
        <v>6</v>
      </c>
      <c r="D413" s="980">
        <f t="shared" si="126"/>
        <v>7</v>
      </c>
      <c r="E413" s="983">
        <f t="shared" si="126"/>
        <v>11</v>
      </c>
      <c r="F413" s="981">
        <f t="shared" si="126"/>
        <v>16</v>
      </c>
      <c r="G413" s="984">
        <f t="shared" si="126"/>
        <v>12</v>
      </c>
      <c r="H413" s="980">
        <f t="shared" si="126"/>
        <v>10</v>
      </c>
      <c r="I413" s="1104">
        <f t="shared" si="126"/>
        <v>10</v>
      </c>
      <c r="J413" s="982">
        <f t="shared" si="126"/>
        <v>9</v>
      </c>
      <c r="K413" s="1105">
        <f t="shared" si="126"/>
        <v>11</v>
      </c>
      <c r="L413" s="980"/>
      <c r="M413" s="983"/>
      <c r="N413" s="981">
        <f t="shared" ref="N413:O413" si="127">N421+N429+N437+N445</f>
        <v>7</v>
      </c>
      <c r="O413" s="981">
        <f t="shared" si="127"/>
        <v>11</v>
      </c>
      <c r="P413" s="981"/>
      <c r="Q413" s="981"/>
      <c r="R413" s="981"/>
      <c r="S413" s="981">
        <f t="shared" ref="S413:U413" si="128">S421+S429+S437+S445</f>
        <v>8</v>
      </c>
      <c r="T413" s="981">
        <f t="shared" si="128"/>
        <v>6</v>
      </c>
      <c r="U413" s="981">
        <f t="shared" si="128"/>
        <v>8</v>
      </c>
      <c r="V413" s="981"/>
      <c r="W413" s="983"/>
      <c r="X413" s="981"/>
      <c r="Y413" s="981"/>
      <c r="Z413" s="981"/>
      <c r="AA413" s="981"/>
      <c r="AB413" s="984"/>
      <c r="AC413" s="985">
        <f>SUM(B413:AB413)</f>
        <v>145</v>
      </c>
    </row>
    <row r="414" spans="1:29">
      <c r="A414" s="971" t="s">
        <v>6</v>
      </c>
      <c r="B414" s="980">
        <f t="shared" ref="B414:K414" si="129">B422+B430+B438+B446</f>
        <v>2</v>
      </c>
      <c r="C414" s="1230">
        <f t="shared" si="129"/>
        <v>3</v>
      </c>
      <c r="D414" s="972">
        <f t="shared" si="129"/>
        <v>0</v>
      </c>
      <c r="E414" s="986">
        <f t="shared" si="129"/>
        <v>4</v>
      </c>
      <c r="F414" s="980">
        <f t="shared" si="129"/>
        <v>6</v>
      </c>
      <c r="G414" s="986">
        <f t="shared" si="129"/>
        <v>3</v>
      </c>
      <c r="H414" s="980">
        <f t="shared" si="129"/>
        <v>3</v>
      </c>
      <c r="I414" s="1105">
        <f t="shared" si="129"/>
        <v>3</v>
      </c>
      <c r="J414" s="980">
        <f t="shared" si="129"/>
        <v>3</v>
      </c>
      <c r="K414" s="986">
        <f t="shared" si="129"/>
        <v>3</v>
      </c>
      <c r="L414" s="1028"/>
      <c r="M414" s="984"/>
      <c r="N414" s="986">
        <f t="shared" ref="N414:O414" si="130">N422+N430+N438+N446</f>
        <v>1</v>
      </c>
      <c r="O414" s="986">
        <f t="shared" si="130"/>
        <v>2</v>
      </c>
      <c r="P414" s="986"/>
      <c r="Q414" s="986"/>
      <c r="R414" s="986"/>
      <c r="S414" s="986">
        <f t="shared" ref="S414:U414" si="131">S422+S430+S438+S446</f>
        <v>2</v>
      </c>
      <c r="T414" s="986">
        <f t="shared" si="131"/>
        <v>1</v>
      </c>
      <c r="U414" s="986">
        <f t="shared" si="131"/>
        <v>2</v>
      </c>
      <c r="V414" s="986"/>
      <c r="W414" s="984"/>
      <c r="X414" s="986"/>
      <c r="Y414" s="986"/>
      <c r="Z414" s="986"/>
      <c r="AA414" s="986"/>
      <c r="AB414" s="984"/>
      <c r="AC414" s="987">
        <f>SUM(B414:AB414)</f>
        <v>38</v>
      </c>
    </row>
    <row r="415" spans="1:29">
      <c r="A415" s="971" t="s">
        <v>12</v>
      </c>
      <c r="B415" s="993">
        <f>B414/B413</f>
        <v>0.15384615384615385</v>
      </c>
      <c r="C415" s="1233">
        <f t="shared" ref="C415:K415" si="132">C414/C413</f>
        <v>0.5</v>
      </c>
      <c r="D415" s="1043">
        <f t="shared" si="132"/>
        <v>0</v>
      </c>
      <c r="E415" s="990">
        <f t="shared" si="132"/>
        <v>0.36363636363636365</v>
      </c>
      <c r="F415" s="988">
        <f t="shared" si="132"/>
        <v>0.375</v>
      </c>
      <c r="G415" s="990">
        <f t="shared" si="132"/>
        <v>0.25</v>
      </c>
      <c r="H415" s="993">
        <f t="shared" si="132"/>
        <v>0.3</v>
      </c>
      <c r="I415" s="992">
        <f t="shared" si="132"/>
        <v>0.3</v>
      </c>
      <c r="J415" s="988">
        <f t="shared" si="132"/>
        <v>0.33333333333333331</v>
      </c>
      <c r="K415" s="990">
        <f t="shared" si="132"/>
        <v>0.27272727272727271</v>
      </c>
      <c r="L415" s="1083"/>
      <c r="M415" s="995"/>
      <c r="N415" s="990">
        <f t="shared" ref="N415:O415" si="133">N414/N413</f>
        <v>0.14285714285714285</v>
      </c>
      <c r="O415" s="990">
        <f t="shared" si="133"/>
        <v>0.18181818181818182</v>
      </c>
      <c r="P415" s="990"/>
      <c r="Q415" s="990"/>
      <c r="R415" s="990"/>
      <c r="S415" s="990">
        <f t="shared" ref="S415:U415" si="134">S414/S413</f>
        <v>0.25</v>
      </c>
      <c r="T415" s="990">
        <f t="shared" si="134"/>
        <v>0.16666666666666666</v>
      </c>
      <c r="U415" s="990">
        <f t="shared" si="134"/>
        <v>0.25</v>
      </c>
      <c r="V415" s="990"/>
      <c r="W415" s="995"/>
      <c r="X415" s="990"/>
      <c r="Y415" s="990"/>
      <c r="Z415" s="990"/>
      <c r="AA415" s="990"/>
      <c r="AB415" s="995"/>
      <c r="AC415" s="996">
        <f>AC414/AC413</f>
        <v>0.2620689655172414</v>
      </c>
    </row>
    <row r="416" spans="1:29">
      <c r="A416" s="971" t="s">
        <v>5</v>
      </c>
      <c r="B416" s="997">
        <f t="shared" ref="B416:G416" si="135">(B424+B432+B440+B448)/4</f>
        <v>3.2291666666666665</v>
      </c>
      <c r="C416" s="1281">
        <f t="shared" si="135"/>
        <v>0.875</v>
      </c>
      <c r="D416" s="999">
        <f t="shared" si="135"/>
        <v>7.125</v>
      </c>
      <c r="E416" s="1000">
        <f t="shared" si="135"/>
        <v>4.25</v>
      </c>
      <c r="F416" s="1106">
        <f t="shared" si="135"/>
        <v>3.125</v>
      </c>
      <c r="G416" s="1001">
        <f t="shared" si="135"/>
        <v>4.1666666666666661</v>
      </c>
      <c r="H416" s="999">
        <f>(H424+H432+H440+H448)/4</f>
        <v>5</v>
      </c>
      <c r="I416" s="1107">
        <f t="shared" ref="I416:K416" si="136">(I424+I432+I440+I448)/4</f>
        <v>3.25</v>
      </c>
      <c r="J416" s="997">
        <f t="shared" si="136"/>
        <v>4.1666666666666661</v>
      </c>
      <c r="K416" s="1108">
        <f t="shared" si="136"/>
        <v>3.75</v>
      </c>
      <c r="L416" s="999"/>
      <c r="M416" s="1000"/>
      <c r="N416" s="998">
        <f t="shared" ref="N416:O416" si="137">(N424+N432+N440+N448)/4</f>
        <v>7.625</v>
      </c>
      <c r="O416" s="998">
        <f t="shared" si="137"/>
        <v>4.458333333333333</v>
      </c>
      <c r="P416" s="998"/>
      <c r="Q416" s="998"/>
      <c r="R416" s="998"/>
      <c r="S416" s="998">
        <f t="shared" ref="S416:U416" si="138">(S424+S432+S440+S448)/4</f>
        <v>5.125</v>
      </c>
      <c r="T416" s="998">
        <f t="shared" si="138"/>
        <v>7.75</v>
      </c>
      <c r="U416" s="998">
        <f t="shared" si="138"/>
        <v>5</v>
      </c>
      <c r="V416" s="998"/>
      <c r="W416" s="1000"/>
      <c r="X416" s="998"/>
      <c r="Y416" s="998"/>
      <c r="Z416" s="998"/>
      <c r="AA416" s="998"/>
      <c r="AB416" s="1001"/>
      <c r="AC416" s="1002">
        <f>AC412/AC413</f>
        <v>4.3517241379310345</v>
      </c>
    </row>
    <row r="417" spans="1:29">
      <c r="A417" s="1003" t="s">
        <v>8</v>
      </c>
      <c r="B417" s="1004">
        <f t="shared" ref="B417:G417" si="139">(B425+B433+B441+B449)/4</f>
        <v>3.25</v>
      </c>
      <c r="C417" s="1282">
        <f t="shared" si="139"/>
        <v>0</v>
      </c>
      <c r="D417" s="1109">
        <f t="shared" si="139"/>
        <v>7.125</v>
      </c>
      <c r="E417" s="1006">
        <f t="shared" si="139"/>
        <v>3.958333333333333</v>
      </c>
      <c r="F417" s="1005">
        <f t="shared" si="139"/>
        <v>3.7291666666666661</v>
      </c>
      <c r="G417" s="1110">
        <f t="shared" si="139"/>
        <v>6.125</v>
      </c>
      <c r="H417" s="1109">
        <f>(H425+H433+H441+H449)/4</f>
        <v>6.75</v>
      </c>
      <c r="I417" s="1111">
        <f t="shared" ref="I417:K417" si="140">(I425+I433+I441+I449)/4</f>
        <v>4.5</v>
      </c>
      <c r="J417" s="1004">
        <f t="shared" si="140"/>
        <v>6.625</v>
      </c>
      <c r="K417" s="1112">
        <f t="shared" si="140"/>
        <v>5.375</v>
      </c>
      <c r="L417" s="1109"/>
      <c r="M417" s="1006"/>
      <c r="N417" s="1005">
        <f t="shared" ref="N417:O417" si="141">(N425+N433+N441+N449)/4</f>
        <v>8.75</v>
      </c>
      <c r="O417" s="1005">
        <f t="shared" si="141"/>
        <v>5.583333333333333</v>
      </c>
      <c r="P417" s="1005"/>
      <c r="Q417" s="1005"/>
      <c r="R417" s="1005"/>
      <c r="S417" s="1005">
        <f t="shared" ref="S417:U417" si="142">(S425+S433+S441+S449)/4</f>
        <v>6.875</v>
      </c>
      <c r="T417" s="1005">
        <f t="shared" si="142"/>
        <v>7.75</v>
      </c>
      <c r="U417" s="1005">
        <f t="shared" si="142"/>
        <v>6.5</v>
      </c>
      <c r="V417" s="1005"/>
      <c r="W417" s="1006"/>
      <c r="X417" s="1005"/>
      <c r="Y417" s="1005"/>
      <c r="Z417" s="1005"/>
      <c r="AA417" s="1005"/>
      <c r="AB417" s="1110"/>
      <c r="AC417" s="1007">
        <f>AC412/(AC413-AC414)</f>
        <v>5.8971962616822431</v>
      </c>
    </row>
    <row r="418" spans="1:29" ht="3" customHeight="1">
      <c r="B418" s="582"/>
      <c r="C418" s="582"/>
      <c r="D418" s="582"/>
      <c r="E418" s="582"/>
      <c r="F418" s="582"/>
      <c r="G418" s="582"/>
      <c r="H418" s="582"/>
      <c r="I418" s="582"/>
      <c r="J418" s="582"/>
      <c r="K418" s="582"/>
      <c r="L418" s="582"/>
      <c r="M418" s="1025"/>
      <c r="N418" s="582"/>
      <c r="O418" s="582"/>
      <c r="P418" s="582"/>
      <c r="Q418" s="582"/>
      <c r="R418" s="582"/>
      <c r="S418" s="582"/>
      <c r="T418" s="582"/>
      <c r="U418" s="582"/>
      <c r="V418" s="1239"/>
      <c r="W418" s="1239"/>
      <c r="X418" s="1239"/>
      <c r="Y418" s="1239"/>
      <c r="Z418" s="1239"/>
      <c r="AA418" s="1239"/>
    </row>
    <row r="419" spans="1:29" hidden="1" outlineLevel="1">
      <c r="A419" s="1178" t="s">
        <v>164</v>
      </c>
      <c r="B419" s="1021"/>
      <c r="C419" s="1022"/>
      <c r="D419" s="1021"/>
      <c r="E419" s="1023"/>
      <c r="F419" s="1022"/>
      <c r="G419" s="1023"/>
      <c r="H419" s="1021"/>
      <c r="I419" s="1023"/>
      <c r="J419" s="1021"/>
      <c r="K419" s="1023"/>
      <c r="L419" s="1021"/>
      <c r="M419" s="1023"/>
      <c r="N419" s="1022"/>
      <c r="O419" s="1022"/>
      <c r="P419" s="1022"/>
      <c r="Q419" s="1022"/>
      <c r="R419" s="1022"/>
      <c r="S419" s="1022"/>
      <c r="T419" s="1022"/>
      <c r="U419" s="1022"/>
      <c r="V419" s="1022"/>
      <c r="W419" s="1022"/>
      <c r="X419" s="1022"/>
      <c r="Y419" s="1022"/>
      <c r="Z419" s="1022"/>
      <c r="AA419" s="1022"/>
      <c r="AB419" s="1023"/>
      <c r="AC419" s="1178"/>
    </row>
    <row r="420" spans="1:29" hidden="1" outlineLevel="1">
      <c r="A420" s="971" t="s">
        <v>3</v>
      </c>
      <c r="B420" s="1027">
        <f>'Gruppe B'!P121</f>
        <v>17</v>
      </c>
      <c r="C420" s="113">
        <f>'Gruppe B'!BM43</f>
        <v>0</v>
      </c>
      <c r="D420" s="1028">
        <f>'Gruppe B'!AD121</f>
        <v>19</v>
      </c>
      <c r="E420" s="1029">
        <f>'Gruppe B'!BL66</f>
        <v>3</v>
      </c>
      <c r="F420" s="113">
        <f>'Gruppe B'!BJ148</f>
        <v>21</v>
      </c>
      <c r="G420" s="1031">
        <f>'Gruppe B'!BP121</f>
        <v>9</v>
      </c>
      <c r="H420" s="1027">
        <f>'Gruppe B'!BL20</f>
        <v>16</v>
      </c>
      <c r="I420" s="1029">
        <f>'Gruppe B'!C121</f>
        <v>14</v>
      </c>
      <c r="J420" s="1028">
        <f>'Gruppe B'!AP121</f>
        <v>8</v>
      </c>
      <c r="K420" s="1079">
        <f>'Gruppe B'!BM97</f>
        <v>4</v>
      </c>
      <c r="L420" s="1027"/>
      <c r="M420" s="1031"/>
      <c r="N420" s="1079">
        <f>'Spiel 7 - Viertelfinal'!D129</f>
        <v>10</v>
      </c>
      <c r="O420" s="1079">
        <f>'Spiel 7 - Viertelfinal'!X129</f>
        <v>6</v>
      </c>
      <c r="P420" s="1079"/>
      <c r="Q420" s="1079"/>
      <c r="R420" s="1079"/>
      <c r="S420" s="1079">
        <f>'Spiel 9 - Final'!J96</f>
        <v>5</v>
      </c>
      <c r="T420" s="1079">
        <f>'Spiel 9 - Final'!P96</f>
        <v>14</v>
      </c>
      <c r="U420" s="1079">
        <f>'Spiel 9 - Final'!AL96</f>
        <v>4</v>
      </c>
      <c r="V420" s="1079"/>
      <c r="W420" s="1079"/>
      <c r="AA420" s="1079"/>
      <c r="AB420" s="1030"/>
      <c r="AC420" s="979">
        <f>SUM(B420:AB420)</f>
        <v>150</v>
      </c>
    </row>
    <row r="421" spans="1:29" hidden="1" outlineLevel="1">
      <c r="A421" s="971" t="s">
        <v>4</v>
      </c>
      <c r="B421" s="1028">
        <f>'Gruppe B'!P122</f>
        <v>4</v>
      </c>
      <c r="C421" s="1079">
        <f>'Gruppe B'!BM44</f>
        <v>1</v>
      </c>
      <c r="D421" s="1028">
        <f>'Gruppe B'!AD122</f>
        <v>2</v>
      </c>
      <c r="E421" s="1031">
        <f>'Gruppe B'!BL67</f>
        <v>3</v>
      </c>
      <c r="F421" s="1079">
        <f>'Gruppe B'!BJ149</f>
        <v>4</v>
      </c>
      <c r="G421" s="1030">
        <f>'Gruppe B'!BP122</f>
        <v>3</v>
      </c>
      <c r="H421" s="1028">
        <f>'Gruppe B'!BL21</f>
        <v>2</v>
      </c>
      <c r="I421" s="1029">
        <f>'Gruppe B'!C122</f>
        <v>3</v>
      </c>
      <c r="J421" s="1027">
        <f>'Gruppe B'!AP122</f>
        <v>3</v>
      </c>
      <c r="K421" s="113">
        <f>'Gruppe B'!BM98</f>
        <v>2</v>
      </c>
      <c r="L421" s="1028"/>
      <c r="M421" s="1031"/>
      <c r="N421" s="1079">
        <f>'Spiel 7 - Viertelfinal'!D130</f>
        <v>2</v>
      </c>
      <c r="O421" s="1079">
        <f>'Spiel 7 - Viertelfinal'!X130</f>
        <v>3</v>
      </c>
      <c r="P421" s="1079"/>
      <c r="Q421" s="1079"/>
      <c r="R421" s="1079"/>
      <c r="S421" s="1079">
        <f>'Spiel 9 - Final'!J97</f>
        <v>2</v>
      </c>
      <c r="T421" s="1079">
        <f>'Spiel 9 - Final'!P97</f>
        <v>2</v>
      </c>
      <c r="U421" s="1079">
        <f>'Spiel 9 - Final'!AL97</f>
        <v>2</v>
      </c>
      <c r="V421" s="1079"/>
      <c r="W421" s="1079"/>
      <c r="X421" s="1079"/>
      <c r="Y421" s="1079"/>
      <c r="Z421" s="1079"/>
      <c r="AA421" s="1079"/>
      <c r="AB421" s="1030"/>
      <c r="AC421" s="985">
        <f>SUM(B421:AB421)</f>
        <v>38</v>
      </c>
    </row>
    <row r="422" spans="1:29" hidden="1" outlineLevel="1">
      <c r="A422" s="971" t="s">
        <v>6</v>
      </c>
      <c r="B422" s="1028">
        <f>'Gruppe B'!P123</f>
        <v>1</v>
      </c>
      <c r="C422" s="115">
        <f>'Gruppe B'!BM45</f>
        <v>1</v>
      </c>
      <c r="D422" s="972">
        <f>'Gruppe B'!AD123</f>
        <v>0</v>
      </c>
      <c r="E422" s="113">
        <f>'Gruppe B'!BL68</f>
        <v>2</v>
      </c>
      <c r="F422" s="1028">
        <f>'Gruppe B'!BJ150</f>
        <v>0</v>
      </c>
      <c r="G422" s="115">
        <f>'Gruppe B'!BP123</f>
        <v>2</v>
      </c>
      <c r="H422" s="972">
        <f>'Gruppe B'!BL22</f>
        <v>0</v>
      </c>
      <c r="I422" s="113">
        <f>'Gruppe B'!C123</f>
        <v>1</v>
      </c>
      <c r="J422" s="1028">
        <f>'Gruppe B'!AP123</f>
        <v>1</v>
      </c>
      <c r="K422" s="973">
        <f>'Gruppe B'!BM99</f>
        <v>0</v>
      </c>
      <c r="L422" s="1028"/>
      <c r="M422" s="1030"/>
      <c r="N422" s="973">
        <f>'Spiel 7 - Viertelfinal'!D131</f>
        <v>0</v>
      </c>
      <c r="O422" s="115">
        <f>'Spiel 7 - Viertelfinal'!X131</f>
        <v>1</v>
      </c>
      <c r="P422" s="115"/>
      <c r="Q422" s="115"/>
      <c r="R422" s="115"/>
      <c r="S422" s="115">
        <f>'Spiel 9 - Final'!J98</f>
        <v>1</v>
      </c>
      <c r="T422" s="973">
        <f>'Spiel 9 - Final'!P98</f>
        <v>0</v>
      </c>
      <c r="U422" s="115">
        <f>'Spiel 9 - Final'!AL98</f>
        <v>1</v>
      </c>
      <c r="V422" s="115"/>
      <c r="W422" s="115"/>
      <c r="X422" s="115"/>
      <c r="Y422" s="115"/>
      <c r="Z422" s="115"/>
      <c r="AA422" s="115"/>
      <c r="AB422" s="1030"/>
      <c r="AC422" s="987">
        <f>SUM(B422:AB422)</f>
        <v>11</v>
      </c>
    </row>
    <row r="423" spans="1:29" hidden="1" outlineLevel="1">
      <c r="A423" s="971" t="s">
        <v>12</v>
      </c>
      <c r="B423" s="1083">
        <f>'Gruppe B'!P124</f>
        <v>0.25</v>
      </c>
      <c r="C423" s="1082">
        <f>'Gruppe B'!BM46</f>
        <v>1</v>
      </c>
      <c r="D423" s="1043">
        <f>'Gruppe B'!AD124</f>
        <v>0</v>
      </c>
      <c r="E423" s="1084">
        <f>'Gruppe B'!BL69</f>
        <v>0.66666666666666663</v>
      </c>
      <c r="F423" s="1039">
        <f>'Gruppe B'!BJ151</f>
        <v>0</v>
      </c>
      <c r="G423" s="1082">
        <f>'Gruppe B'!BP124</f>
        <v>0.66666666666666663</v>
      </c>
      <c r="H423" s="1043">
        <f>'Gruppe B'!BL23</f>
        <v>0</v>
      </c>
      <c r="I423" s="1084">
        <f>'Gruppe B'!C124</f>
        <v>0.33333333333333331</v>
      </c>
      <c r="J423" s="1039">
        <f>'Gruppe B'!AP124</f>
        <v>0.33333333333333331</v>
      </c>
      <c r="K423" s="989">
        <f>'Gruppe B'!BM100</f>
        <v>0</v>
      </c>
      <c r="L423" s="1083"/>
      <c r="M423" s="1086"/>
      <c r="N423" s="989">
        <f>'Spiel 7 - Viertelfinal'!D132</f>
        <v>0</v>
      </c>
      <c r="O423" s="1082">
        <f>'Spiel 7 - Viertelfinal'!X132</f>
        <v>0.33333333333333331</v>
      </c>
      <c r="P423" s="1082"/>
      <c r="Q423" s="1082"/>
      <c r="R423" s="1082"/>
      <c r="S423" s="1082">
        <f>'Spiel 9 - Final'!J99</f>
        <v>0.5</v>
      </c>
      <c r="T423" s="989">
        <f>'Spiel 9 - Final'!P99</f>
        <v>0</v>
      </c>
      <c r="U423" s="1082">
        <f>'Spiel 9 - Final'!AL99</f>
        <v>0.5</v>
      </c>
      <c r="V423" s="1082"/>
      <c r="W423" s="1082"/>
      <c r="X423" s="1082"/>
      <c r="Y423" s="1082"/>
      <c r="Z423" s="1082"/>
      <c r="AA423" s="1082"/>
      <c r="AB423" s="1086"/>
      <c r="AC423" s="996">
        <f>AC422/AC421</f>
        <v>0.28947368421052633</v>
      </c>
    </row>
    <row r="424" spans="1:29" hidden="1" outlineLevel="1">
      <c r="A424" s="971" t="s">
        <v>5</v>
      </c>
      <c r="B424" s="1045">
        <f>'Gruppe B'!P125</f>
        <v>4.25</v>
      </c>
      <c r="C424" s="1088">
        <f>'Gruppe B'!BM47</f>
        <v>0</v>
      </c>
      <c r="D424" s="1047">
        <f>'Gruppe B'!AD125</f>
        <v>9.5</v>
      </c>
      <c r="E424" s="1050">
        <f>'Gruppe B'!BL70</f>
        <v>1</v>
      </c>
      <c r="F424" s="1124">
        <f>'Gruppe B'!BJ152</f>
        <v>5.25</v>
      </c>
      <c r="G424" s="1049">
        <f>'Gruppe B'!BP125</f>
        <v>3</v>
      </c>
      <c r="H424" s="1047">
        <f>'Gruppe B'!BL24</f>
        <v>8</v>
      </c>
      <c r="I424" s="1048">
        <f>'Gruppe B'!C125</f>
        <v>4.666666666666667</v>
      </c>
      <c r="J424" s="1045">
        <f>'Gruppe B'!AP125</f>
        <v>2.6666666666666665</v>
      </c>
      <c r="K424" s="1046">
        <f>'Gruppe B'!BM101</f>
        <v>2</v>
      </c>
      <c r="L424" s="1047"/>
      <c r="M424" s="1050"/>
      <c r="N424" s="1088">
        <f>'Spiel 7 - Viertelfinal'!D133</f>
        <v>5</v>
      </c>
      <c r="O424" s="1088">
        <f>'Spiel 7 - Viertelfinal'!X133</f>
        <v>2</v>
      </c>
      <c r="P424" s="1088"/>
      <c r="Q424" s="1088"/>
      <c r="R424" s="1088"/>
      <c r="S424" s="1088">
        <f>'Spiel 9 - Final'!J100</f>
        <v>2.5</v>
      </c>
      <c r="T424" s="1088">
        <f>'Spiel 9 - Final'!P100</f>
        <v>7</v>
      </c>
      <c r="U424" s="1088">
        <f>'Spiel 9 - Final'!AL100</f>
        <v>2</v>
      </c>
      <c r="V424" s="1088"/>
      <c r="W424" s="1088"/>
      <c r="X424" s="1088"/>
      <c r="Y424" s="1088"/>
      <c r="Z424" s="1088"/>
      <c r="AA424" s="1088"/>
      <c r="AB424" s="1049"/>
      <c r="AC424" s="1002">
        <f>AC420/AC421</f>
        <v>3.9473684210526314</v>
      </c>
    </row>
    <row r="425" spans="1:29" hidden="1" outlineLevel="1">
      <c r="A425" s="1003" t="s">
        <v>8</v>
      </c>
      <c r="B425" s="1053">
        <f>'Gruppe B'!P126</f>
        <v>5.666666666666667</v>
      </c>
      <c r="C425" s="1091">
        <f>'Gruppe B'!BM48</f>
        <v>0</v>
      </c>
      <c r="D425" s="1055">
        <f>'Gruppe B'!AD126</f>
        <v>9.5</v>
      </c>
      <c r="E425" s="1058">
        <f>'Gruppe B'!BL71</f>
        <v>3</v>
      </c>
      <c r="F425" s="1091">
        <f>'Gruppe B'!BJ153</f>
        <v>5.25</v>
      </c>
      <c r="G425" s="1057">
        <f>'Gruppe B'!BP126</f>
        <v>9</v>
      </c>
      <c r="H425" s="1055">
        <f>'Gruppe B'!BL25</f>
        <v>8</v>
      </c>
      <c r="I425" s="1056">
        <f>'Gruppe B'!C126</f>
        <v>7</v>
      </c>
      <c r="J425" s="1053">
        <f>'Gruppe B'!AP126</f>
        <v>4</v>
      </c>
      <c r="K425" s="1054">
        <f>'Gruppe B'!BM102</f>
        <v>2</v>
      </c>
      <c r="L425" s="1055"/>
      <c r="M425" s="1058"/>
      <c r="N425" s="1091">
        <f>'Spiel 7 - Viertelfinal'!D134</f>
        <v>5</v>
      </c>
      <c r="O425" s="1091">
        <f>'Spiel 7 - Viertelfinal'!X134</f>
        <v>3</v>
      </c>
      <c r="P425" s="1091"/>
      <c r="Q425" s="1091"/>
      <c r="R425" s="1091"/>
      <c r="S425" s="1091">
        <f>'Spiel 9 - Final'!J101</f>
        <v>5</v>
      </c>
      <c r="T425" s="1091">
        <f>'Spiel 9 - Final'!P101</f>
        <v>7</v>
      </c>
      <c r="U425" s="1091">
        <f>'Spiel 9 - Final'!AL101</f>
        <v>4</v>
      </c>
      <c r="V425" s="1091"/>
      <c r="W425" s="1091"/>
      <c r="X425" s="1091"/>
      <c r="Y425" s="1091"/>
      <c r="Z425" s="1091"/>
      <c r="AA425" s="1091"/>
      <c r="AB425" s="1057"/>
      <c r="AC425" s="1007">
        <f>AC420/(AC421-AC422)</f>
        <v>5.5555555555555554</v>
      </c>
    </row>
    <row r="426" spans="1:29" ht="3" hidden="1" customHeight="1" outlineLevel="1">
      <c r="B426" s="582"/>
      <c r="C426" s="582"/>
      <c r="D426" s="582"/>
      <c r="E426" s="582"/>
      <c r="F426" s="582"/>
      <c r="G426" s="582"/>
      <c r="H426" s="582"/>
      <c r="I426" s="582"/>
      <c r="J426" s="582"/>
      <c r="K426" s="582"/>
      <c r="L426" s="582"/>
      <c r="M426" s="1025"/>
      <c r="N426" s="582"/>
      <c r="O426" s="582"/>
      <c r="P426" s="582"/>
      <c r="Q426" s="582"/>
      <c r="R426" s="582"/>
      <c r="S426" s="582"/>
      <c r="T426" s="582"/>
      <c r="U426" s="582"/>
      <c r="V426" s="1239"/>
      <c r="W426" s="1239"/>
      <c r="X426" s="1239"/>
      <c r="Y426" s="1239"/>
      <c r="Z426" s="1239"/>
      <c r="AA426" s="1239"/>
    </row>
    <row r="427" spans="1:29" hidden="1" outlineLevel="1">
      <c r="A427" s="1178" t="s">
        <v>172</v>
      </c>
      <c r="B427" s="1242"/>
      <c r="C427" s="1243"/>
      <c r="D427" s="1021"/>
      <c r="E427" s="1023"/>
      <c r="F427" s="1022"/>
      <c r="G427" s="1023"/>
      <c r="H427" s="1021"/>
      <c r="I427" s="1023"/>
      <c r="J427" s="1021"/>
      <c r="K427" s="1023"/>
      <c r="L427" s="1021"/>
      <c r="M427" s="1023"/>
      <c r="N427" s="1022"/>
      <c r="O427" s="1022"/>
      <c r="P427" s="1022"/>
      <c r="Q427" s="1022"/>
      <c r="R427" s="1022"/>
      <c r="S427" s="1022"/>
      <c r="T427" s="1022"/>
      <c r="U427" s="1022"/>
      <c r="V427" s="1022"/>
      <c r="W427" s="1022"/>
      <c r="X427" s="1022"/>
      <c r="Y427" s="1022"/>
      <c r="Z427" s="1022"/>
      <c r="AA427" s="1022"/>
      <c r="AB427" s="1023"/>
      <c r="AC427" s="1178"/>
    </row>
    <row r="428" spans="1:29" hidden="1" outlineLevel="1">
      <c r="A428" s="971" t="s">
        <v>3</v>
      </c>
      <c r="B428" s="1027">
        <f>'Gruppe B'!Q121</f>
        <v>22</v>
      </c>
      <c r="C428" s="113">
        <f>'Gruppe B'!BJ43</f>
        <v>8</v>
      </c>
      <c r="D428" s="1028">
        <f>'Gruppe B'!AE121</f>
        <v>9</v>
      </c>
      <c r="E428" s="1029">
        <f>'Gruppe B'!BM66</f>
        <v>10</v>
      </c>
      <c r="F428" s="113">
        <f>'Gruppe B'!BK148</f>
        <v>0</v>
      </c>
      <c r="G428" s="1031">
        <f>'Gruppe B'!BQ121</f>
        <v>11</v>
      </c>
      <c r="H428" s="1027">
        <f>'Gruppe B'!BM20</f>
        <v>4</v>
      </c>
      <c r="I428" s="1029">
        <f>'Gruppe B'!D121</f>
        <v>4</v>
      </c>
      <c r="J428" s="1028">
        <f>'Gruppe B'!AQ121</f>
        <v>11</v>
      </c>
      <c r="K428" s="1079">
        <f>'Gruppe B'!BJ97</f>
        <v>18</v>
      </c>
      <c r="L428" s="1027"/>
      <c r="M428" s="1031"/>
      <c r="N428" s="1079">
        <f>'Spiel 7 - Viertelfinal'!E129</f>
        <v>11</v>
      </c>
      <c r="O428" s="1079">
        <f>'Spiel 7 - Viertelfinal'!Y129</f>
        <v>7</v>
      </c>
      <c r="P428" s="1079"/>
      <c r="Q428" s="1079"/>
      <c r="R428" s="1079"/>
      <c r="S428" s="1079">
        <f>'Spiel 9 - Final'!K96</f>
        <v>9</v>
      </c>
      <c r="T428" s="1079">
        <f>'Spiel 9 - Final'!Q96</f>
        <v>0</v>
      </c>
      <c r="U428" s="1079">
        <f>'Spiel 9 - Final'!AI96</f>
        <v>8</v>
      </c>
      <c r="V428" s="1079"/>
      <c r="W428" s="1079"/>
      <c r="X428" s="1079"/>
      <c r="Y428" s="1079"/>
      <c r="Z428" s="1079"/>
      <c r="AA428" s="1079"/>
      <c r="AB428" s="1030"/>
      <c r="AC428" s="979">
        <f>SUM(B428:AB428)</f>
        <v>132</v>
      </c>
    </row>
    <row r="429" spans="1:29" hidden="1" outlineLevel="1">
      <c r="A429" s="971" t="s">
        <v>4</v>
      </c>
      <c r="B429" s="1028">
        <f>'Gruppe B'!Q122</f>
        <v>3</v>
      </c>
      <c r="C429" s="1079">
        <f>'Gruppe B'!BJ44</f>
        <v>2</v>
      </c>
      <c r="D429" s="1028">
        <f>'Gruppe B'!AE122</f>
        <v>2</v>
      </c>
      <c r="E429" s="1031">
        <f>'Gruppe B'!BM67</f>
        <v>2</v>
      </c>
      <c r="F429" s="1079">
        <f>'Gruppe B'!BK149</f>
        <v>4</v>
      </c>
      <c r="G429" s="1030">
        <f>'Gruppe B'!BQ122</f>
        <v>3</v>
      </c>
      <c r="H429" s="1028">
        <f>'Gruppe B'!BM21</f>
        <v>2</v>
      </c>
      <c r="I429" s="1029">
        <f>'Gruppe B'!D122</f>
        <v>3</v>
      </c>
      <c r="J429" s="1027">
        <f>'Gruppe B'!AQ122</f>
        <v>2</v>
      </c>
      <c r="K429" s="113">
        <f>'Gruppe B'!BJ98</f>
        <v>3</v>
      </c>
      <c r="L429" s="1028"/>
      <c r="M429" s="1031"/>
      <c r="N429" s="1079">
        <f>'Spiel 7 - Viertelfinal'!E130</f>
        <v>1</v>
      </c>
      <c r="O429" s="1079">
        <f>'Spiel 7 - Viertelfinal'!Y130</f>
        <v>2</v>
      </c>
      <c r="P429" s="1079"/>
      <c r="Q429" s="1079"/>
      <c r="R429" s="1079"/>
      <c r="S429" s="1079">
        <f>'Spiel 9 - Final'!K97</f>
        <v>2</v>
      </c>
      <c r="T429" s="1079">
        <f>'Spiel 9 - Final'!Q97</f>
        <v>1</v>
      </c>
      <c r="U429" s="1079">
        <f>'Spiel 9 - Final'!AI97</f>
        <v>2</v>
      </c>
      <c r="V429" s="1079"/>
      <c r="W429" s="1079"/>
      <c r="X429" s="1079"/>
      <c r="Y429" s="1079"/>
      <c r="Z429" s="1079"/>
      <c r="AA429" s="1079"/>
      <c r="AB429" s="1030"/>
      <c r="AC429" s="985">
        <f>SUM(B429:AB429)</f>
        <v>34</v>
      </c>
    </row>
    <row r="430" spans="1:29" hidden="1" outlineLevel="1">
      <c r="A430" s="971" t="s">
        <v>6</v>
      </c>
      <c r="B430" s="972">
        <f>'Gruppe B'!Q123</f>
        <v>0</v>
      </c>
      <c r="C430" s="115">
        <f>'Gruppe B'!BJ45</f>
        <v>1</v>
      </c>
      <c r="D430" s="972">
        <f>'Gruppe B'!AE123</f>
        <v>0</v>
      </c>
      <c r="E430" s="115">
        <f>'Gruppe B'!BM68</f>
        <v>1</v>
      </c>
      <c r="F430" s="1028">
        <f>'Gruppe B'!BK150</f>
        <v>4</v>
      </c>
      <c r="G430" s="115">
        <f>'Gruppe B'!BQ123</f>
        <v>1</v>
      </c>
      <c r="H430" s="1028">
        <f>'Gruppe B'!BM22</f>
        <v>1</v>
      </c>
      <c r="I430" s="113">
        <f>'Gruppe B'!D123</f>
        <v>1</v>
      </c>
      <c r="J430" s="972">
        <f>'Gruppe B'!AQ123</f>
        <v>0</v>
      </c>
      <c r="K430" s="973">
        <f>'Gruppe B'!BJ99</f>
        <v>0</v>
      </c>
      <c r="L430" s="1028"/>
      <c r="M430" s="1029"/>
      <c r="N430" s="973">
        <f>'Spiel 7 - Viertelfinal'!E131</f>
        <v>0</v>
      </c>
      <c r="O430" s="1079">
        <f>'Spiel 7 - Viertelfinal'!Y131</f>
        <v>1</v>
      </c>
      <c r="P430" s="113"/>
      <c r="Q430" s="113"/>
      <c r="R430" s="113"/>
      <c r="S430" s="113">
        <f>'Spiel 9 - Final'!K98</f>
        <v>1</v>
      </c>
      <c r="T430" s="113">
        <f>'Spiel 9 - Final'!Q98</f>
        <v>1</v>
      </c>
      <c r="U430" s="113">
        <f>'Spiel 9 - Final'!AI98</f>
        <v>1</v>
      </c>
      <c r="V430" s="1232"/>
      <c r="W430" s="1232"/>
      <c r="X430" s="1232"/>
      <c r="Y430" s="1232"/>
      <c r="Z430" s="1232"/>
      <c r="AA430" s="1232"/>
      <c r="AB430" s="1030"/>
      <c r="AC430" s="987">
        <f>SUM(B430:AB430)</f>
        <v>13</v>
      </c>
    </row>
    <row r="431" spans="1:29" hidden="1" outlineLevel="1">
      <c r="A431" s="971" t="s">
        <v>12</v>
      </c>
      <c r="B431" s="1043">
        <f>'Gruppe B'!Q124</f>
        <v>0</v>
      </c>
      <c r="C431" s="1082">
        <f>'Gruppe B'!BJ46</f>
        <v>0.5</v>
      </c>
      <c r="D431" s="1043">
        <f>'Gruppe B'!AE124</f>
        <v>0</v>
      </c>
      <c r="E431" s="1082">
        <f>'Gruppe B'!BM69</f>
        <v>0.5</v>
      </c>
      <c r="F431" s="1083">
        <f>'Gruppe B'!BK151</f>
        <v>1</v>
      </c>
      <c r="G431" s="1082">
        <f>'Gruppe B'!BQ124</f>
        <v>0.33333333333333331</v>
      </c>
      <c r="H431" s="1083">
        <f>'Gruppe B'!BM23</f>
        <v>0.5</v>
      </c>
      <c r="I431" s="1084">
        <f>'Gruppe B'!D124</f>
        <v>0.33333333333333331</v>
      </c>
      <c r="J431" s="1043">
        <f>'Gruppe B'!AQ124</f>
        <v>0</v>
      </c>
      <c r="K431" s="989">
        <f>'Gruppe B'!BJ100</f>
        <v>0</v>
      </c>
      <c r="L431" s="1083"/>
      <c r="M431" s="1085"/>
      <c r="N431" s="989">
        <f>'Spiel 7 - Viertelfinal'!E132</f>
        <v>0</v>
      </c>
      <c r="O431" s="1079">
        <f>'Spiel 7 - Viertelfinal'!Y132</f>
        <v>0.5</v>
      </c>
      <c r="P431" s="1084"/>
      <c r="Q431" s="1084"/>
      <c r="R431" s="1084"/>
      <c r="S431" s="1084">
        <f>'Spiel 9 - Final'!K99</f>
        <v>0.5</v>
      </c>
      <c r="T431" s="1084">
        <f>'Spiel 9 - Final'!Q99</f>
        <v>1</v>
      </c>
      <c r="U431" s="1084">
        <f>'Spiel 9 - Final'!AI99</f>
        <v>0.5</v>
      </c>
      <c r="V431" s="1235"/>
      <c r="W431" s="1235"/>
      <c r="X431" s="1235"/>
      <c r="Y431" s="1235"/>
      <c r="Z431" s="1235"/>
      <c r="AA431" s="1235"/>
      <c r="AB431" s="1086"/>
      <c r="AC431" s="996">
        <f>AC430/AC429</f>
        <v>0.38235294117647056</v>
      </c>
    </row>
    <row r="432" spans="1:29" hidden="1" outlineLevel="1">
      <c r="A432" s="971" t="s">
        <v>5</v>
      </c>
      <c r="B432" s="1045">
        <f>'Gruppe B'!Q125</f>
        <v>7.333333333333333</v>
      </c>
      <c r="C432" s="1088">
        <f>'Gruppe B'!BJ47</f>
        <v>4</v>
      </c>
      <c r="D432" s="1047">
        <f>'Gruppe B'!AE125</f>
        <v>4.5</v>
      </c>
      <c r="E432" s="1050">
        <f>'Gruppe B'!BM70</f>
        <v>5</v>
      </c>
      <c r="F432" s="1124">
        <f>'Gruppe B'!BK152</f>
        <v>0</v>
      </c>
      <c r="G432" s="1049">
        <f>'Gruppe B'!BQ125</f>
        <v>3.6666666666666665</v>
      </c>
      <c r="H432" s="1047">
        <f>'Gruppe B'!BM24</f>
        <v>2</v>
      </c>
      <c r="I432" s="1048">
        <f>'Gruppe B'!D125</f>
        <v>1.3333333333333333</v>
      </c>
      <c r="J432" s="1045">
        <f>'Gruppe B'!AQ125</f>
        <v>5.5</v>
      </c>
      <c r="K432" s="1046">
        <f>'Gruppe B'!BJ101</f>
        <v>6</v>
      </c>
      <c r="L432" s="1047"/>
      <c r="M432" s="1050"/>
      <c r="N432" s="1088">
        <f>'Spiel 7 - Viertelfinal'!E133</f>
        <v>11</v>
      </c>
      <c r="O432" s="1088">
        <f>'Spiel 7 - Viertelfinal'!Y133</f>
        <v>3.5</v>
      </c>
      <c r="P432" s="1088"/>
      <c r="Q432" s="1088"/>
      <c r="R432" s="1088"/>
      <c r="S432" s="1088">
        <f>'Spiel 9 - Final'!K100</f>
        <v>4.5</v>
      </c>
      <c r="T432" s="1088">
        <f>'Spiel 9 - Final'!Q100</f>
        <v>0</v>
      </c>
      <c r="U432" s="1088">
        <f>'Spiel 9 - Final'!AI100</f>
        <v>4</v>
      </c>
      <c r="V432" s="1088"/>
      <c r="W432" s="1088"/>
      <c r="X432" s="1088"/>
      <c r="Y432" s="1088"/>
      <c r="Z432" s="1088"/>
      <c r="AA432" s="1088"/>
      <c r="AB432" s="1049"/>
      <c r="AC432" s="1002">
        <f>AC428/AC429</f>
        <v>3.8823529411764706</v>
      </c>
    </row>
    <row r="433" spans="1:29" hidden="1" outlineLevel="1">
      <c r="A433" s="1003" t="s">
        <v>8</v>
      </c>
      <c r="B433" s="1053">
        <f>'Gruppe B'!Q126</f>
        <v>7.333333333333333</v>
      </c>
      <c r="C433" s="1091">
        <f>'Gruppe B'!BJ48</f>
        <v>8</v>
      </c>
      <c r="D433" s="1055">
        <f>'Gruppe B'!AE126</f>
        <v>4.5</v>
      </c>
      <c r="E433" s="1058">
        <f>'Gruppe B'!BM71</f>
        <v>0</v>
      </c>
      <c r="F433" s="1091">
        <f>'Gruppe B'!BK153</f>
        <v>0</v>
      </c>
      <c r="G433" s="1057">
        <f>'Gruppe B'!BQ126</f>
        <v>5.5</v>
      </c>
      <c r="H433" s="1055">
        <f>'Gruppe B'!BM25</f>
        <v>4</v>
      </c>
      <c r="I433" s="1056">
        <f>'Gruppe B'!D126</f>
        <v>2</v>
      </c>
      <c r="J433" s="1053">
        <f>'Gruppe B'!AQ126</f>
        <v>5.5</v>
      </c>
      <c r="K433" s="1054">
        <f>'Gruppe B'!BJ102</f>
        <v>6</v>
      </c>
      <c r="L433" s="1055"/>
      <c r="M433" s="1058"/>
      <c r="N433" s="1091">
        <f>'Spiel 7 - Viertelfinal'!E134</f>
        <v>11</v>
      </c>
      <c r="O433" s="1091">
        <f>'Spiel 7 - Viertelfinal'!Y134</f>
        <v>7</v>
      </c>
      <c r="P433" s="1091"/>
      <c r="Q433" s="1091"/>
      <c r="R433" s="1091"/>
      <c r="S433" s="1091">
        <f>'Spiel 9 - Final'!K101</f>
        <v>9</v>
      </c>
      <c r="T433" s="1091">
        <f>'Spiel 9 - Final'!Q101</f>
        <v>0</v>
      </c>
      <c r="U433" s="1091">
        <f>'Spiel 9 - Final'!AI101</f>
        <v>8</v>
      </c>
      <c r="V433" s="1091"/>
      <c r="W433" s="1091"/>
      <c r="X433" s="1091"/>
      <c r="Y433" s="1091"/>
      <c r="Z433" s="1091"/>
      <c r="AA433" s="1091"/>
      <c r="AB433" s="1057"/>
      <c r="AC433" s="1007">
        <f>AC428/(AC429-AC430)</f>
        <v>6.2857142857142856</v>
      </c>
    </row>
    <row r="434" spans="1:29" ht="3" hidden="1" customHeight="1" outlineLevel="1">
      <c r="B434" s="582"/>
      <c r="C434" s="582"/>
      <c r="D434" s="582"/>
      <c r="E434" s="582"/>
      <c r="F434" s="582"/>
      <c r="G434" s="582"/>
      <c r="H434" s="582"/>
      <c r="I434" s="582"/>
      <c r="J434" s="582"/>
      <c r="K434" s="582"/>
      <c r="L434" s="582"/>
      <c r="M434" s="1025"/>
      <c r="N434" s="582"/>
      <c r="O434" s="582"/>
      <c r="P434" s="582"/>
      <c r="Q434" s="582"/>
      <c r="R434" s="582"/>
      <c r="S434" s="582"/>
      <c r="T434" s="582"/>
      <c r="U434" s="582"/>
      <c r="V434" s="1239"/>
      <c r="W434" s="1239"/>
      <c r="X434" s="1239"/>
      <c r="Y434" s="1239"/>
      <c r="Z434" s="1239"/>
      <c r="AA434" s="1239"/>
    </row>
    <row r="435" spans="1:29" hidden="1" outlineLevel="1">
      <c r="A435" s="1178" t="s">
        <v>101</v>
      </c>
      <c r="B435" s="1021"/>
      <c r="C435" s="1022"/>
      <c r="D435" s="1021"/>
      <c r="E435" s="1023"/>
      <c r="F435" s="1022"/>
      <c r="G435" s="1023"/>
      <c r="H435" s="1021"/>
      <c r="I435" s="1023"/>
      <c r="J435" s="1021"/>
      <c r="K435" s="1023"/>
      <c r="L435" s="1021"/>
      <c r="M435" s="1023"/>
      <c r="N435" s="1022"/>
      <c r="O435" s="1022"/>
      <c r="P435" s="1022"/>
      <c r="Q435" s="1022"/>
      <c r="R435" s="1022"/>
      <c r="S435" s="1022"/>
      <c r="T435" s="1022"/>
      <c r="U435" s="1022"/>
      <c r="V435" s="1022"/>
      <c r="W435" s="1022"/>
      <c r="X435" s="1022"/>
      <c r="Y435" s="1022"/>
      <c r="Z435" s="1022"/>
      <c r="AA435" s="1022"/>
      <c r="AB435" s="1023"/>
      <c r="AC435" s="1178"/>
    </row>
    <row r="436" spans="1:29" hidden="1" outlineLevel="1">
      <c r="A436" s="971" t="s">
        <v>3</v>
      </c>
      <c r="B436" s="1027">
        <f>'Gruppe B'!R121</f>
        <v>-8</v>
      </c>
      <c r="C436" s="113">
        <f>'Gruppe B'!BK43</f>
        <v>-15</v>
      </c>
      <c r="D436" s="1028">
        <f>'Gruppe B'!AF121</f>
        <v>7</v>
      </c>
      <c r="E436" s="1029">
        <f>'Gruppe B'!BJ66</f>
        <v>11</v>
      </c>
      <c r="F436" s="113">
        <f>'Gruppe B'!BL148</f>
        <v>13</v>
      </c>
      <c r="G436" s="1031">
        <f>'Gruppe B'!BR121</f>
        <v>12</v>
      </c>
      <c r="H436" s="1027">
        <f>'Gruppe B'!BJ20</f>
        <v>16</v>
      </c>
      <c r="I436" s="1029">
        <f>'Gruppe B'!E121</f>
        <v>4</v>
      </c>
      <c r="J436" s="1028">
        <f>'Gruppe B'!AR121</f>
        <v>6</v>
      </c>
      <c r="K436" s="1079">
        <f>'Gruppe B'!BK97</f>
        <v>6</v>
      </c>
      <c r="L436" s="1027"/>
      <c r="M436" s="1031"/>
      <c r="N436" s="1079">
        <f>'Spiel 7 - Viertelfinal'!B129</f>
        <v>9</v>
      </c>
      <c r="O436" s="1079">
        <f>'Spiel 7 - Viertelfinal'!V129</f>
        <v>19</v>
      </c>
      <c r="P436" s="1079"/>
      <c r="Q436" s="1079"/>
      <c r="R436" s="1079"/>
      <c r="S436" s="1079">
        <f>'Spiel 9 - Final'!L96</f>
        <v>4</v>
      </c>
      <c r="T436" s="1079">
        <f>'Spiel 9 - Final'!R96</f>
        <v>12</v>
      </c>
      <c r="U436" s="1079">
        <f>'Spiel 9 - Final'!AJ96</f>
        <v>15</v>
      </c>
      <c r="V436" s="1079"/>
      <c r="W436" s="1079"/>
      <c r="X436" s="1079"/>
      <c r="Y436" s="1079"/>
      <c r="Z436" s="1079"/>
      <c r="AA436" s="1079"/>
      <c r="AB436" s="1030"/>
      <c r="AC436" s="979">
        <f>SUM(B436:AB436)</f>
        <v>111</v>
      </c>
    </row>
    <row r="437" spans="1:29" hidden="1" outlineLevel="1">
      <c r="A437" s="971" t="s">
        <v>4</v>
      </c>
      <c r="B437" s="1028">
        <f>'Gruppe B'!R122</f>
        <v>3</v>
      </c>
      <c r="C437" s="1079">
        <f>'Gruppe B'!BK44</f>
        <v>2</v>
      </c>
      <c r="D437" s="1028">
        <f>'Gruppe B'!AF122</f>
        <v>1</v>
      </c>
      <c r="E437" s="1031">
        <f>'Gruppe B'!BJ67</f>
        <v>3</v>
      </c>
      <c r="F437" s="1079">
        <f>'Gruppe B'!BL149</f>
        <v>4</v>
      </c>
      <c r="G437" s="1030">
        <f>'Gruppe B'!BR122</f>
        <v>3</v>
      </c>
      <c r="H437" s="1028">
        <f>'Gruppe B'!BJ21</f>
        <v>3</v>
      </c>
      <c r="I437" s="1029">
        <f>'Gruppe B'!E122</f>
        <v>2</v>
      </c>
      <c r="J437" s="1027">
        <f>'Gruppe B'!AR122</f>
        <v>2</v>
      </c>
      <c r="K437" s="113">
        <f>'Gruppe B'!BK98</f>
        <v>3</v>
      </c>
      <c r="L437" s="1028"/>
      <c r="M437" s="1031"/>
      <c r="N437" s="1079">
        <f>'Spiel 7 - Viertelfinal'!B130</f>
        <v>2</v>
      </c>
      <c r="O437" s="1079">
        <f>'Spiel 7 - Viertelfinal'!V130</f>
        <v>3</v>
      </c>
      <c r="P437" s="1079"/>
      <c r="Q437" s="1079"/>
      <c r="R437" s="1079"/>
      <c r="S437" s="1079">
        <f>'Spiel 9 - Final'!L97</f>
        <v>2</v>
      </c>
      <c r="T437" s="1079">
        <f>'Spiel 9 - Final'!R97</f>
        <v>1</v>
      </c>
      <c r="U437" s="1079">
        <f>'Spiel 9 - Final'!AJ97</f>
        <v>2</v>
      </c>
      <c r="V437" s="1079"/>
      <c r="W437" s="1079"/>
      <c r="X437" s="1079"/>
      <c r="Y437" s="1079"/>
      <c r="Z437" s="1079"/>
      <c r="AA437" s="1079"/>
      <c r="AB437" s="1030"/>
      <c r="AC437" s="985">
        <f>SUM(B437:AB437)</f>
        <v>36</v>
      </c>
    </row>
    <row r="438" spans="1:29" hidden="1" outlineLevel="1">
      <c r="A438" s="971" t="s">
        <v>6</v>
      </c>
      <c r="B438" s="1028">
        <f>'Gruppe B'!R123</f>
        <v>1</v>
      </c>
      <c r="C438" s="115">
        <f>'Gruppe B'!BK45</f>
        <v>1</v>
      </c>
      <c r="D438" s="972">
        <f>'Gruppe B'!AF123</f>
        <v>0</v>
      </c>
      <c r="E438" s="115">
        <f>'Gruppe B'!BJ68</f>
        <v>1</v>
      </c>
      <c r="F438" s="1028">
        <f>'Gruppe B'!BL150</f>
        <v>1</v>
      </c>
      <c r="G438" s="973">
        <f>'Gruppe B'!BR123</f>
        <v>0</v>
      </c>
      <c r="H438" s="1028">
        <f>'Gruppe B'!BJ22</f>
        <v>1</v>
      </c>
      <c r="I438" s="113">
        <f>'Gruppe B'!E123</f>
        <v>1</v>
      </c>
      <c r="J438" s="1028">
        <f>'Gruppe B'!AR123</f>
        <v>1</v>
      </c>
      <c r="K438" s="113">
        <f>'Gruppe B'!BK99</f>
        <v>2</v>
      </c>
      <c r="L438" s="1028"/>
      <c r="M438" s="1029"/>
      <c r="N438" s="113">
        <f>'Spiel 7 - Viertelfinal'!B131</f>
        <v>1</v>
      </c>
      <c r="O438" s="973">
        <f>'Spiel 7 - Viertelfinal'!V131</f>
        <v>0</v>
      </c>
      <c r="P438" s="113"/>
      <c r="Q438" s="113"/>
      <c r="R438" s="113"/>
      <c r="S438" s="973">
        <f>'Spiel 9 - Final'!L98</f>
        <v>0</v>
      </c>
      <c r="T438" s="973">
        <f>'Spiel 9 - Final'!R98</f>
        <v>0</v>
      </c>
      <c r="U438" s="973">
        <f>'Spiel 9 - Final'!AJ98</f>
        <v>0</v>
      </c>
      <c r="V438" s="1232"/>
      <c r="W438" s="1232"/>
      <c r="X438" s="1232"/>
      <c r="Y438" s="1232"/>
      <c r="Z438" s="1232"/>
      <c r="AA438" s="1232"/>
      <c r="AB438" s="1030"/>
      <c r="AC438" s="987">
        <f>SUM(B438:AB438)</f>
        <v>10</v>
      </c>
    </row>
    <row r="439" spans="1:29" hidden="1" outlineLevel="1">
      <c r="A439" s="971" t="s">
        <v>12</v>
      </c>
      <c r="B439" s="1083">
        <f>'Gruppe B'!R124</f>
        <v>0.33333333333333331</v>
      </c>
      <c r="C439" s="1082">
        <f>'Gruppe B'!BK46</f>
        <v>0.5</v>
      </c>
      <c r="D439" s="1043">
        <f>'Gruppe B'!AF124</f>
        <v>0</v>
      </c>
      <c r="E439" s="1082">
        <f>'Gruppe B'!BJ69</f>
        <v>0.33333333333333331</v>
      </c>
      <c r="F439" s="1083">
        <f>'Gruppe B'!BL151</f>
        <v>0.25</v>
      </c>
      <c r="G439" s="989">
        <f>'Gruppe B'!BR124</f>
        <v>0</v>
      </c>
      <c r="H439" s="1083">
        <f>'Gruppe B'!BJ23</f>
        <v>0.33333333333333331</v>
      </c>
      <c r="I439" s="1084">
        <f>'Gruppe B'!E124</f>
        <v>0.5</v>
      </c>
      <c r="J439" s="1039">
        <f>'Gruppe B'!AR124</f>
        <v>0.5</v>
      </c>
      <c r="K439" s="1084">
        <f>'Gruppe B'!BK100</f>
        <v>0.66666666666666663</v>
      </c>
      <c r="L439" s="1083"/>
      <c r="M439" s="1085"/>
      <c r="N439" s="1084">
        <f>'Spiel 7 - Viertelfinal'!B132</f>
        <v>0.5</v>
      </c>
      <c r="O439" s="989">
        <f>'Spiel 7 - Viertelfinal'!V132</f>
        <v>0</v>
      </c>
      <c r="P439" s="1084"/>
      <c r="Q439" s="1084"/>
      <c r="R439" s="1084"/>
      <c r="S439" s="989">
        <f>'Spiel 9 - Final'!L99</f>
        <v>0</v>
      </c>
      <c r="T439" s="989">
        <f>'Spiel 9 - Final'!R99</f>
        <v>0</v>
      </c>
      <c r="U439" s="989">
        <f>'Spiel 9 - Final'!AJ99</f>
        <v>0</v>
      </c>
      <c r="V439" s="1235"/>
      <c r="W439" s="1235"/>
      <c r="X439" s="1235"/>
      <c r="Y439" s="1235"/>
      <c r="Z439" s="1235"/>
      <c r="AA439" s="1235"/>
      <c r="AB439" s="1086"/>
      <c r="AC439" s="996">
        <f>AC438/AC437</f>
        <v>0.27777777777777779</v>
      </c>
    </row>
    <row r="440" spans="1:29" hidden="1" outlineLevel="1">
      <c r="A440" s="971" t="s">
        <v>5</v>
      </c>
      <c r="B440" s="1045">
        <f>'Gruppe B'!R125</f>
        <v>-2.6666666666666665</v>
      </c>
      <c r="C440" s="1088">
        <f>'Gruppe B'!BK47</f>
        <v>-7.5</v>
      </c>
      <c r="D440" s="1047">
        <f>'Gruppe B'!AF125</f>
        <v>7</v>
      </c>
      <c r="E440" s="1050">
        <f>'Gruppe B'!BJ70</f>
        <v>3.6666666666666665</v>
      </c>
      <c r="F440" s="1124">
        <f>'Gruppe B'!BL152</f>
        <v>3.25</v>
      </c>
      <c r="G440" s="1049">
        <f>'Gruppe B'!BR125</f>
        <v>4</v>
      </c>
      <c r="H440" s="1047">
        <f>'Gruppe B'!BJ24</f>
        <v>5.333333333333333</v>
      </c>
      <c r="I440" s="1048">
        <f>'Gruppe B'!E125</f>
        <v>2</v>
      </c>
      <c r="J440" s="1045">
        <f>'Gruppe B'!AR125</f>
        <v>3</v>
      </c>
      <c r="K440" s="1046">
        <f>'Gruppe B'!BK101</f>
        <v>2</v>
      </c>
      <c r="L440" s="1047"/>
      <c r="M440" s="1050"/>
      <c r="N440" s="1088">
        <f>'Spiel 7 - Viertelfinal'!B133</f>
        <v>4.5</v>
      </c>
      <c r="O440" s="1088">
        <f>'Spiel 7 - Viertelfinal'!V133</f>
        <v>6.333333333333333</v>
      </c>
      <c r="P440" s="1088"/>
      <c r="Q440" s="1088"/>
      <c r="R440" s="1088"/>
      <c r="S440" s="1088">
        <f>'Spiel 9 - Final'!L100</f>
        <v>2</v>
      </c>
      <c r="T440" s="1088">
        <f>'Spiel 9 - Final'!R100</f>
        <v>12</v>
      </c>
      <c r="U440" s="1088">
        <f>'Spiel 9 - Final'!AJ100</f>
        <v>7.5</v>
      </c>
      <c r="V440" s="1088"/>
      <c r="W440" s="1088"/>
      <c r="X440" s="1088"/>
      <c r="Y440" s="1088"/>
      <c r="Z440" s="1088"/>
      <c r="AA440" s="1088"/>
      <c r="AB440" s="1049"/>
      <c r="AC440" s="1002">
        <f>AC436/AC437</f>
        <v>3.0833333333333335</v>
      </c>
    </row>
    <row r="441" spans="1:29" hidden="1" outlineLevel="1">
      <c r="A441" s="1003" t="s">
        <v>8</v>
      </c>
      <c r="B441" s="1053">
        <f>'Gruppe B'!R126</f>
        <v>-4</v>
      </c>
      <c r="C441" s="1091">
        <f>'Gruppe B'!BK48</f>
        <v>-15</v>
      </c>
      <c r="D441" s="1055">
        <f>'Gruppe B'!AF126</f>
        <v>7</v>
      </c>
      <c r="E441" s="1058">
        <f>'Gruppe B'!BJ71</f>
        <v>5.5</v>
      </c>
      <c r="F441" s="1091">
        <f>'Gruppe B'!BL153</f>
        <v>4.333333333333333</v>
      </c>
      <c r="G441" s="1057">
        <f>'Gruppe B'!BR126</f>
        <v>4</v>
      </c>
      <c r="H441" s="1055">
        <f>'Gruppe B'!BJ25</f>
        <v>8</v>
      </c>
      <c r="I441" s="1056">
        <f>'Gruppe B'!E126</f>
        <v>4</v>
      </c>
      <c r="J441" s="1053">
        <f>'Gruppe B'!AR126</f>
        <v>6</v>
      </c>
      <c r="K441" s="1054">
        <f>'Gruppe B'!BK102</f>
        <v>6</v>
      </c>
      <c r="L441" s="1055"/>
      <c r="M441" s="1058"/>
      <c r="N441" s="1091">
        <f>'Spiel 7 - Viertelfinal'!B134</f>
        <v>9</v>
      </c>
      <c r="O441" s="1091">
        <f>'Spiel 7 - Viertelfinal'!V134</f>
        <v>6.333333333333333</v>
      </c>
      <c r="P441" s="1091"/>
      <c r="Q441" s="1091"/>
      <c r="R441" s="1091"/>
      <c r="S441" s="1091">
        <f>'Spiel 9 - Final'!L101</f>
        <v>2</v>
      </c>
      <c r="T441" s="1091">
        <f>'Spiel 9 - Final'!R101</f>
        <v>12</v>
      </c>
      <c r="U441" s="1091">
        <f>'Spiel 9 - Final'!AJ101</f>
        <v>7.5</v>
      </c>
      <c r="V441" s="1091"/>
      <c r="W441" s="1091"/>
      <c r="X441" s="1091"/>
      <c r="Y441" s="1091"/>
      <c r="Z441" s="1091"/>
      <c r="AA441" s="1091"/>
      <c r="AB441" s="1057"/>
      <c r="AC441" s="1007">
        <f>AC436/(AC437-AC438)</f>
        <v>4.2692307692307692</v>
      </c>
    </row>
    <row r="442" spans="1:29" ht="3" hidden="1" customHeight="1" outlineLevel="1">
      <c r="B442" s="582"/>
      <c r="C442" s="582"/>
      <c r="D442" s="582"/>
      <c r="E442" s="582"/>
      <c r="F442" s="582"/>
      <c r="G442" s="582"/>
      <c r="H442" s="582"/>
      <c r="I442" s="582"/>
      <c r="J442" s="582"/>
      <c r="K442" s="582"/>
      <c r="L442" s="582"/>
      <c r="M442" s="1025"/>
      <c r="N442" s="582"/>
      <c r="O442" s="582"/>
      <c r="P442" s="582"/>
      <c r="Q442" s="582"/>
      <c r="R442" s="582"/>
      <c r="S442" s="582"/>
      <c r="T442" s="582"/>
      <c r="U442" s="582"/>
      <c r="V442" s="1239"/>
      <c r="W442" s="1239"/>
      <c r="X442" s="1239"/>
      <c r="Y442" s="1239"/>
      <c r="Z442" s="1239"/>
      <c r="AA442" s="1239"/>
    </row>
    <row r="443" spans="1:29" hidden="1" outlineLevel="1">
      <c r="A443" s="1178" t="s">
        <v>169</v>
      </c>
      <c r="B443" s="1021"/>
      <c r="C443" s="1022"/>
      <c r="D443" s="1021"/>
      <c r="E443" s="1023"/>
      <c r="F443" s="1022"/>
      <c r="G443" s="1023"/>
      <c r="H443" s="1021"/>
      <c r="I443" s="1023"/>
      <c r="J443" s="1021"/>
      <c r="K443" s="1023"/>
      <c r="L443" s="1021"/>
      <c r="M443" s="1023"/>
      <c r="N443" s="1022"/>
      <c r="O443" s="1022"/>
      <c r="P443" s="1022"/>
      <c r="Q443" s="1022"/>
      <c r="R443" s="1022"/>
      <c r="S443" s="1022"/>
      <c r="T443" s="1022"/>
      <c r="U443" s="1022"/>
      <c r="V443" s="1022"/>
      <c r="W443" s="1022"/>
      <c r="X443" s="1022"/>
      <c r="Y443" s="1022"/>
      <c r="Z443" s="1022"/>
      <c r="AA443" s="1022"/>
      <c r="AB443" s="1023"/>
      <c r="AC443" s="1178"/>
    </row>
    <row r="444" spans="1:29" hidden="1" outlineLevel="1">
      <c r="A444" s="971" t="s">
        <v>3</v>
      </c>
      <c r="B444" s="1027">
        <f>'Gruppe B'!S121</f>
        <v>12</v>
      </c>
      <c r="C444" s="113">
        <f>'Gruppe B'!BL43</f>
        <v>7</v>
      </c>
      <c r="D444" s="1028">
        <f>'Gruppe B'!AC121</f>
        <v>15</v>
      </c>
      <c r="E444" s="1029">
        <f>'Gruppe B'!BK66</f>
        <v>22</v>
      </c>
      <c r="F444" s="113">
        <f>'Gruppe B'!BM148</f>
        <v>16</v>
      </c>
      <c r="G444" s="1031">
        <f>'Gruppe B'!BS121</f>
        <v>18</v>
      </c>
      <c r="H444" s="1027">
        <f>'Gruppe B'!BK20</f>
        <v>14</v>
      </c>
      <c r="I444" s="1029">
        <f>'Gruppe B'!F121</f>
        <v>10</v>
      </c>
      <c r="J444" s="1028">
        <f>'Gruppe B'!AS121</f>
        <v>11</v>
      </c>
      <c r="K444" s="1079">
        <f>'Gruppe B'!BL97</f>
        <v>15</v>
      </c>
      <c r="L444" s="1027"/>
      <c r="M444" s="1031"/>
      <c r="N444" s="1079">
        <f>'Spiel 7 - Viertelfinal'!C129</f>
        <v>20</v>
      </c>
      <c r="O444" s="1079">
        <f>'Spiel 7 - Viertelfinal'!W129</f>
        <v>18</v>
      </c>
      <c r="P444" s="1079"/>
      <c r="Q444" s="1079"/>
      <c r="R444" s="1079"/>
      <c r="S444" s="1079">
        <f>'Spiel 9 - Final'!I96</f>
        <v>23</v>
      </c>
      <c r="T444" s="1079">
        <f>'Spiel 9 - Final'!O96</f>
        <v>24</v>
      </c>
      <c r="U444" s="1079">
        <f>'Spiel 9 - Final'!AK96</f>
        <v>13</v>
      </c>
      <c r="V444" s="1079"/>
      <c r="W444" s="1079"/>
      <c r="X444" s="1079"/>
      <c r="Y444" s="1079"/>
      <c r="Z444" s="1079"/>
      <c r="AA444" s="1079"/>
      <c r="AB444" s="1030"/>
      <c r="AC444" s="979">
        <f>SUM(B444:AB444)</f>
        <v>238</v>
      </c>
    </row>
    <row r="445" spans="1:29" hidden="1" outlineLevel="1">
      <c r="A445" s="971" t="s">
        <v>4</v>
      </c>
      <c r="B445" s="1028">
        <f>'Gruppe B'!S122</f>
        <v>3</v>
      </c>
      <c r="C445" s="1079">
        <f>'Gruppe B'!BL44</f>
        <v>1</v>
      </c>
      <c r="D445" s="1028">
        <f>'Gruppe B'!AC122</f>
        <v>2</v>
      </c>
      <c r="E445" s="1031">
        <f>'Gruppe B'!BK67</f>
        <v>3</v>
      </c>
      <c r="F445" s="1079">
        <f>'Gruppe B'!BM149</f>
        <v>4</v>
      </c>
      <c r="G445" s="1030">
        <f>'Gruppe B'!BS122</f>
        <v>3</v>
      </c>
      <c r="H445" s="1028">
        <f>'Gruppe B'!BK21</f>
        <v>3</v>
      </c>
      <c r="I445" s="1029">
        <f>'Gruppe B'!F122</f>
        <v>2</v>
      </c>
      <c r="J445" s="1027">
        <f>'Gruppe B'!AS122</f>
        <v>2</v>
      </c>
      <c r="K445" s="113">
        <f>'Gruppe B'!BL98</f>
        <v>3</v>
      </c>
      <c r="L445" s="1028"/>
      <c r="M445" s="1031"/>
      <c r="N445" s="1079">
        <f>'Spiel 7 - Viertelfinal'!C130</f>
        <v>2</v>
      </c>
      <c r="O445" s="1079">
        <f>'Spiel 7 - Viertelfinal'!W130</f>
        <v>3</v>
      </c>
      <c r="P445" s="1079"/>
      <c r="Q445" s="1079"/>
      <c r="R445" s="1079"/>
      <c r="S445" s="1079">
        <f>'Spiel 9 - Final'!I97</f>
        <v>2</v>
      </c>
      <c r="T445" s="1079">
        <f>'Spiel 9 - Final'!O97</f>
        <v>2</v>
      </c>
      <c r="U445" s="1079">
        <f>'Spiel 9 - Final'!AK97</f>
        <v>2</v>
      </c>
      <c r="V445" s="1079"/>
      <c r="W445" s="1079"/>
      <c r="X445" s="1079"/>
      <c r="Y445" s="1079"/>
      <c r="Z445" s="1079"/>
      <c r="AA445" s="1079"/>
      <c r="AB445" s="1030"/>
      <c r="AC445" s="985">
        <f>SUM(B445:AB445)</f>
        <v>37</v>
      </c>
    </row>
    <row r="446" spans="1:29" hidden="1" outlineLevel="1">
      <c r="A446" s="971" t="s">
        <v>6</v>
      </c>
      <c r="B446" s="972">
        <f>'Gruppe B'!S123</f>
        <v>0</v>
      </c>
      <c r="C446" s="973">
        <f>'Gruppe B'!BL45</f>
        <v>0</v>
      </c>
      <c r="D446" s="972">
        <f>'Gruppe B'!AC123</f>
        <v>0</v>
      </c>
      <c r="E446" s="973">
        <f>'Gruppe B'!BK68</f>
        <v>0</v>
      </c>
      <c r="F446" s="1028">
        <f>'Gruppe B'!BM150</f>
        <v>1</v>
      </c>
      <c r="G446" s="973">
        <f>'Gruppe B'!BS123</f>
        <v>0</v>
      </c>
      <c r="H446" s="1028">
        <f>'Gruppe B'!BK22</f>
        <v>1</v>
      </c>
      <c r="I446" s="973">
        <f>'Gruppe B'!F123</f>
        <v>0</v>
      </c>
      <c r="J446" s="1028">
        <f>'Gruppe B'!AS123</f>
        <v>1</v>
      </c>
      <c r="K446" s="113">
        <f>'Gruppe B'!BL99</f>
        <v>1</v>
      </c>
      <c r="L446" s="1028"/>
      <c r="M446" s="1029"/>
      <c r="N446" s="973">
        <f>'Spiel 7 - Viertelfinal'!C131</f>
        <v>0</v>
      </c>
      <c r="O446" s="973">
        <f>'Spiel 7 - Viertelfinal'!W131</f>
        <v>0</v>
      </c>
      <c r="P446" s="113"/>
      <c r="Q446" s="113"/>
      <c r="R446" s="113"/>
      <c r="S446" s="973">
        <f>'Spiel 9 - Final'!I98</f>
        <v>0</v>
      </c>
      <c r="T446" s="973">
        <f>'Spiel 9 - Final'!O98</f>
        <v>0</v>
      </c>
      <c r="U446" s="973">
        <f>'Spiel 9 - Final'!AK98</f>
        <v>0</v>
      </c>
      <c r="V446" s="1232"/>
      <c r="W446" s="1232"/>
      <c r="X446" s="1232"/>
      <c r="Y446" s="1232"/>
      <c r="Z446" s="1232"/>
      <c r="AA446" s="1232"/>
      <c r="AB446" s="1030"/>
      <c r="AC446" s="987">
        <f>SUM(B446:AB446)</f>
        <v>4</v>
      </c>
    </row>
    <row r="447" spans="1:29" hidden="1" outlineLevel="1">
      <c r="A447" s="971" t="s">
        <v>12</v>
      </c>
      <c r="B447" s="1043">
        <f>'Gruppe B'!S124</f>
        <v>0</v>
      </c>
      <c r="C447" s="989">
        <f>'Gruppe B'!BL46</f>
        <v>0</v>
      </c>
      <c r="D447" s="1043">
        <f>'Gruppe B'!AC124</f>
        <v>0</v>
      </c>
      <c r="E447" s="989">
        <f>'Gruppe B'!BK69</f>
        <v>0</v>
      </c>
      <c r="F447" s="1083">
        <f>'Gruppe B'!BM151</f>
        <v>0.25</v>
      </c>
      <c r="G447" s="989">
        <f>'Gruppe B'!BS124</f>
        <v>0</v>
      </c>
      <c r="H447" s="1083">
        <f>'Gruppe B'!BK23</f>
        <v>0.33333333333333331</v>
      </c>
      <c r="I447" s="989">
        <f>'Gruppe B'!F124</f>
        <v>0</v>
      </c>
      <c r="J447" s="1039">
        <f>'Gruppe B'!AS124</f>
        <v>0.5</v>
      </c>
      <c r="K447" s="1084">
        <f>'Gruppe B'!BL100</f>
        <v>0.33333333333333331</v>
      </c>
      <c r="L447" s="1083"/>
      <c r="M447" s="1085"/>
      <c r="N447" s="989">
        <f>'Spiel 7 - Viertelfinal'!C132</f>
        <v>0</v>
      </c>
      <c r="O447" s="989">
        <f>'Spiel 7 - Viertelfinal'!W132</f>
        <v>0</v>
      </c>
      <c r="P447" s="1084"/>
      <c r="Q447" s="1084"/>
      <c r="R447" s="1084"/>
      <c r="S447" s="989">
        <f>'Spiel 9 - Final'!I99</f>
        <v>0</v>
      </c>
      <c r="T447" s="989">
        <f>'Spiel 9 - Final'!O99</f>
        <v>0</v>
      </c>
      <c r="U447" s="989">
        <f>'Spiel 9 - Final'!AK99</f>
        <v>0</v>
      </c>
      <c r="V447" s="1235"/>
      <c r="W447" s="1235"/>
      <c r="X447" s="1235"/>
      <c r="Y447" s="1235"/>
      <c r="Z447" s="1235"/>
      <c r="AA447" s="1235"/>
      <c r="AB447" s="1086"/>
      <c r="AC447" s="996">
        <f>AC446/AC445</f>
        <v>0.10810810810810811</v>
      </c>
    </row>
    <row r="448" spans="1:29" hidden="1" outlineLevel="1">
      <c r="A448" s="971" t="s">
        <v>5</v>
      </c>
      <c r="B448" s="1045">
        <f>'Gruppe B'!S125</f>
        <v>4</v>
      </c>
      <c r="C448" s="1088">
        <f>'Gruppe B'!BL47</f>
        <v>7</v>
      </c>
      <c r="D448" s="1047">
        <f>'Gruppe B'!AC125</f>
        <v>7.5</v>
      </c>
      <c r="E448" s="1050">
        <f>'Gruppe B'!BK70</f>
        <v>7.333333333333333</v>
      </c>
      <c r="F448" s="1124">
        <f>'Gruppe B'!BM152</f>
        <v>4</v>
      </c>
      <c r="G448" s="1049">
        <f>'Gruppe B'!BS125</f>
        <v>6</v>
      </c>
      <c r="H448" s="1047">
        <f>'Gruppe B'!BK24</f>
        <v>4.666666666666667</v>
      </c>
      <c r="I448" s="1048">
        <f>'Gruppe B'!F125</f>
        <v>5</v>
      </c>
      <c r="J448" s="1045">
        <f>'Gruppe B'!AS125</f>
        <v>5.5</v>
      </c>
      <c r="K448" s="1046">
        <f>'Gruppe B'!BL101</f>
        <v>5</v>
      </c>
      <c r="L448" s="1047"/>
      <c r="M448" s="1050"/>
      <c r="N448" s="1088">
        <f>'Spiel 7 - Viertelfinal'!C133</f>
        <v>10</v>
      </c>
      <c r="O448" s="1088">
        <f>'Spiel 7 - Viertelfinal'!W133</f>
        <v>6</v>
      </c>
      <c r="P448" s="1088"/>
      <c r="Q448" s="1088"/>
      <c r="R448" s="1088"/>
      <c r="S448" s="1088">
        <f>'Spiel 9 - Final'!I100</f>
        <v>11.5</v>
      </c>
      <c r="T448" s="1088">
        <f>'Spiel 9 - Final'!O100</f>
        <v>12</v>
      </c>
      <c r="U448" s="1088">
        <f>'Spiel 9 - Final'!AK100</f>
        <v>6.5</v>
      </c>
      <c r="V448" s="1088"/>
      <c r="W448" s="1088"/>
      <c r="X448" s="1088"/>
      <c r="Y448" s="1088"/>
      <c r="Z448" s="1088"/>
      <c r="AA448" s="1088"/>
      <c r="AB448" s="1049"/>
      <c r="AC448" s="1002">
        <f>AC444/AC445</f>
        <v>6.4324324324324325</v>
      </c>
    </row>
    <row r="449" spans="1:29" hidden="1" outlineLevel="1">
      <c r="A449" s="1003" t="s">
        <v>8</v>
      </c>
      <c r="B449" s="1053">
        <f>'Gruppe B'!S126</f>
        <v>4</v>
      </c>
      <c r="C449" s="1091">
        <f>'Gruppe B'!BL48</f>
        <v>7</v>
      </c>
      <c r="D449" s="1055">
        <f>'Gruppe B'!AC126</f>
        <v>7.5</v>
      </c>
      <c r="E449" s="1058">
        <f>'Gruppe B'!BK71</f>
        <v>7.333333333333333</v>
      </c>
      <c r="F449" s="1091">
        <f>'Gruppe B'!BM153</f>
        <v>5.333333333333333</v>
      </c>
      <c r="G449" s="1057">
        <f>'Gruppe B'!BS126</f>
        <v>6</v>
      </c>
      <c r="H449" s="1055">
        <f>'Gruppe B'!BK25</f>
        <v>7</v>
      </c>
      <c r="I449" s="1056">
        <f>'Gruppe B'!F126</f>
        <v>5</v>
      </c>
      <c r="J449" s="1053">
        <f>'Gruppe B'!AS126</f>
        <v>11</v>
      </c>
      <c r="K449" s="1054">
        <f>'Gruppe B'!BL102</f>
        <v>7.5</v>
      </c>
      <c r="L449" s="1055"/>
      <c r="M449" s="1058"/>
      <c r="N449" s="1091">
        <f>'Spiel 7 - Viertelfinal'!C134</f>
        <v>10</v>
      </c>
      <c r="O449" s="1091">
        <f>'Spiel 7 - Viertelfinal'!W134</f>
        <v>6</v>
      </c>
      <c r="P449" s="1091"/>
      <c r="Q449" s="1091"/>
      <c r="R449" s="1091"/>
      <c r="S449" s="1091">
        <f>'Spiel 9 - Final'!I101</f>
        <v>11.5</v>
      </c>
      <c r="T449" s="1091">
        <f>'Spiel 9 - Final'!O101</f>
        <v>12</v>
      </c>
      <c r="U449" s="1091">
        <f>'Spiel 9 - Final'!AK101</f>
        <v>6.5</v>
      </c>
      <c r="V449" s="1091"/>
      <c r="W449" s="1091"/>
      <c r="X449" s="1091"/>
      <c r="Y449" s="1091"/>
      <c r="Z449" s="1091"/>
      <c r="AA449" s="1091"/>
      <c r="AB449" s="1057"/>
      <c r="AC449" s="1007">
        <f>AC444/(AC445-AC446)</f>
        <v>7.2121212121212119</v>
      </c>
    </row>
    <row r="450" spans="1:29" ht="3" hidden="1" customHeight="1" outlineLevel="1">
      <c r="M450" s="1129"/>
    </row>
    <row r="451" spans="1:29" collapsed="1">
      <c r="A451" s="1283" t="s">
        <v>146</v>
      </c>
      <c r="B451" s="1284"/>
      <c r="C451" s="1285"/>
      <c r="D451" s="1284"/>
      <c r="E451" s="1286"/>
      <c r="F451" s="1285"/>
      <c r="G451" s="1286"/>
      <c r="H451" s="1284"/>
      <c r="I451" s="1286"/>
      <c r="J451" s="1284"/>
      <c r="K451" s="1286"/>
      <c r="L451" s="1284"/>
      <c r="M451" s="1286"/>
      <c r="N451" s="1285"/>
      <c r="O451" s="1285"/>
      <c r="P451" s="1285"/>
      <c r="Q451" s="1285"/>
      <c r="R451" s="1285"/>
      <c r="S451" s="1285"/>
      <c r="T451" s="1285"/>
      <c r="U451" s="1285"/>
      <c r="V451" s="1285"/>
      <c r="W451" s="1285"/>
      <c r="X451" s="1285"/>
      <c r="Y451" s="1285"/>
      <c r="Z451" s="1285"/>
      <c r="AA451" s="1285"/>
      <c r="AB451" s="1286"/>
      <c r="AC451" s="1283"/>
    </row>
    <row r="452" spans="1:29">
      <c r="A452" s="971" t="s">
        <v>3</v>
      </c>
      <c r="B452" s="972">
        <f>B460+B468+B476+B484</f>
        <v>50</v>
      </c>
      <c r="C452" s="1105">
        <f t="shared" ref="C452:K452" si="143">C460+C468+C476+C484</f>
        <v>23</v>
      </c>
      <c r="D452" s="980">
        <f t="shared" si="143"/>
        <v>48</v>
      </c>
      <c r="E452" s="1104">
        <f t="shared" si="143"/>
        <v>40</v>
      </c>
      <c r="F452" s="1105">
        <f t="shared" si="143"/>
        <v>49</v>
      </c>
      <c r="G452" s="983">
        <f t="shared" si="143"/>
        <v>32</v>
      </c>
      <c r="H452" s="982">
        <f t="shared" si="143"/>
        <v>28</v>
      </c>
      <c r="I452" s="1104">
        <f t="shared" si="143"/>
        <v>46</v>
      </c>
      <c r="J452" s="980">
        <f t="shared" si="143"/>
        <v>49</v>
      </c>
      <c r="K452" s="973">
        <f t="shared" si="143"/>
        <v>50</v>
      </c>
      <c r="L452" s="982"/>
      <c r="M452" s="983"/>
      <c r="N452" s="1248">
        <f t="shared" ref="N452:O452" si="144">N460+N468+N476+N484</f>
        <v>31</v>
      </c>
      <c r="O452" s="1248">
        <f t="shared" si="144"/>
        <v>32</v>
      </c>
      <c r="P452" s="981"/>
      <c r="Q452" s="981"/>
      <c r="R452" s="981"/>
      <c r="S452" s="973">
        <f t="shared" ref="S452:T452" si="145">S460+S468+S476+S484</f>
        <v>50</v>
      </c>
      <c r="T452" s="973">
        <f t="shared" si="145"/>
        <v>50</v>
      </c>
      <c r="U452" s="981"/>
      <c r="V452" s="981"/>
      <c r="W452" s="981"/>
      <c r="X452" s="981"/>
      <c r="Y452" s="981"/>
      <c r="Z452" s="981"/>
      <c r="AA452" s="981"/>
      <c r="AB452" s="984"/>
      <c r="AC452" s="979">
        <f>SUM(B452:AB452)</f>
        <v>578</v>
      </c>
    </row>
    <row r="453" spans="1:29">
      <c r="A453" s="971" t="s">
        <v>4</v>
      </c>
      <c r="B453" s="980">
        <f t="shared" ref="B453:K453" si="146">B461+B469+B477+B485</f>
        <v>11</v>
      </c>
      <c r="C453" s="981">
        <f t="shared" si="146"/>
        <v>8</v>
      </c>
      <c r="D453" s="980">
        <f t="shared" si="146"/>
        <v>10</v>
      </c>
      <c r="E453" s="983">
        <f t="shared" si="146"/>
        <v>11</v>
      </c>
      <c r="F453" s="981">
        <f t="shared" si="146"/>
        <v>16</v>
      </c>
      <c r="G453" s="984">
        <f t="shared" si="146"/>
        <v>11</v>
      </c>
      <c r="H453" s="980">
        <f t="shared" si="146"/>
        <v>6</v>
      </c>
      <c r="I453" s="1104">
        <f t="shared" si="146"/>
        <v>9</v>
      </c>
      <c r="J453" s="982">
        <f t="shared" si="146"/>
        <v>14</v>
      </c>
      <c r="K453" s="1105">
        <f t="shared" si="146"/>
        <v>10</v>
      </c>
      <c r="L453" s="980"/>
      <c r="M453" s="983"/>
      <c r="N453" s="981">
        <f t="shared" ref="N453:O453" si="147">N461+N469+N477+N485</f>
        <v>5</v>
      </c>
      <c r="O453" s="981">
        <f t="shared" si="147"/>
        <v>7</v>
      </c>
      <c r="P453" s="981"/>
      <c r="Q453" s="981"/>
      <c r="R453" s="981"/>
      <c r="S453" s="981">
        <f t="shared" ref="S453:T453" si="148">S461+S469+S477+S485</f>
        <v>10</v>
      </c>
      <c r="T453" s="981">
        <f t="shared" si="148"/>
        <v>10</v>
      </c>
      <c r="U453" s="981"/>
      <c r="V453" s="981"/>
      <c r="W453" s="981"/>
      <c r="X453" s="981"/>
      <c r="Y453" s="981"/>
      <c r="Z453" s="981"/>
      <c r="AA453" s="981"/>
      <c r="AB453" s="984"/>
      <c r="AC453" s="985">
        <f>SUM(B453:AB453)</f>
        <v>138</v>
      </c>
    </row>
    <row r="454" spans="1:29">
      <c r="A454" s="971" t="s">
        <v>6</v>
      </c>
      <c r="B454" s="980">
        <f t="shared" ref="B454:K454" si="149">B462+B470+B478+B486</f>
        <v>2</v>
      </c>
      <c r="C454" s="986">
        <f t="shared" si="149"/>
        <v>3</v>
      </c>
      <c r="D454" s="980">
        <f t="shared" si="149"/>
        <v>1</v>
      </c>
      <c r="E454" s="986">
        <f t="shared" si="149"/>
        <v>4</v>
      </c>
      <c r="F454" s="980">
        <f t="shared" si="149"/>
        <v>6</v>
      </c>
      <c r="G454" s="986">
        <f t="shared" si="149"/>
        <v>2</v>
      </c>
      <c r="H454" s="972">
        <f t="shared" si="149"/>
        <v>0</v>
      </c>
      <c r="I454" s="986">
        <f t="shared" si="149"/>
        <v>2</v>
      </c>
      <c r="J454" s="980">
        <f t="shared" si="149"/>
        <v>5</v>
      </c>
      <c r="K454" s="973">
        <f t="shared" si="149"/>
        <v>0</v>
      </c>
      <c r="L454" s="982"/>
      <c r="M454" s="983"/>
      <c r="N454" s="973">
        <f t="shared" ref="N454:O454" si="150">N462+N470+N478+N486</f>
        <v>0</v>
      </c>
      <c r="O454" s="981">
        <f t="shared" si="150"/>
        <v>2</v>
      </c>
      <c r="P454" s="981"/>
      <c r="Q454" s="981"/>
      <c r="R454" s="981"/>
      <c r="S454" s="981">
        <f t="shared" ref="S454:T454" si="151">S462+S470+S478+S486</f>
        <v>1</v>
      </c>
      <c r="T454" s="981">
        <f t="shared" si="151"/>
        <v>2</v>
      </c>
      <c r="U454" s="981"/>
      <c r="V454" s="981"/>
      <c r="W454" s="981"/>
      <c r="X454" s="981"/>
      <c r="Y454" s="981"/>
      <c r="Z454" s="981"/>
      <c r="AA454" s="981"/>
      <c r="AB454" s="984"/>
      <c r="AC454" s="987">
        <f>SUM(B454:AB454)</f>
        <v>30</v>
      </c>
    </row>
    <row r="455" spans="1:29">
      <c r="A455" s="971" t="s">
        <v>12</v>
      </c>
      <c r="B455" s="988">
        <f>B454/B453</f>
        <v>0.18181818181818182</v>
      </c>
      <c r="C455" s="990">
        <f t="shared" ref="C455:K455" si="152">C454/C453</f>
        <v>0.375</v>
      </c>
      <c r="D455" s="988">
        <f t="shared" si="152"/>
        <v>0.1</v>
      </c>
      <c r="E455" s="990">
        <f t="shared" si="152"/>
        <v>0.36363636363636365</v>
      </c>
      <c r="F455" s="988">
        <f t="shared" si="152"/>
        <v>0.375</v>
      </c>
      <c r="G455" s="990">
        <f t="shared" si="152"/>
        <v>0.18181818181818182</v>
      </c>
      <c r="H455" s="1043">
        <f t="shared" si="152"/>
        <v>0</v>
      </c>
      <c r="I455" s="990">
        <f t="shared" si="152"/>
        <v>0.22222222222222221</v>
      </c>
      <c r="J455" s="988">
        <f t="shared" si="152"/>
        <v>0.35714285714285715</v>
      </c>
      <c r="K455" s="989">
        <f t="shared" si="152"/>
        <v>0</v>
      </c>
      <c r="L455" s="991"/>
      <c r="M455" s="994"/>
      <c r="N455" s="989">
        <f t="shared" ref="N455:O455" si="153">N454/N453</f>
        <v>0</v>
      </c>
      <c r="O455" s="992">
        <f t="shared" si="153"/>
        <v>0.2857142857142857</v>
      </c>
      <c r="P455" s="992"/>
      <c r="Q455" s="992"/>
      <c r="R455" s="992"/>
      <c r="S455" s="992">
        <f t="shared" ref="S455:T455" si="154">S454/S453</f>
        <v>0.1</v>
      </c>
      <c r="T455" s="992">
        <f t="shared" si="154"/>
        <v>0.2</v>
      </c>
      <c r="U455" s="992"/>
      <c r="V455" s="992"/>
      <c r="W455" s="992"/>
      <c r="X455" s="992"/>
      <c r="Y455" s="992"/>
      <c r="Z455" s="992"/>
      <c r="AA455" s="992"/>
      <c r="AB455" s="995"/>
      <c r="AC455" s="996">
        <f>AC454/AC453</f>
        <v>0.21739130434782608</v>
      </c>
    </row>
    <row r="456" spans="1:29">
      <c r="A456" s="971" t="s">
        <v>5</v>
      </c>
      <c r="B456" s="997">
        <f t="shared" ref="B456:G456" si="155">(B464+B472+B480+B488)/4</f>
        <v>4.5416666666666661</v>
      </c>
      <c r="C456" s="998">
        <f t="shared" si="155"/>
        <v>2.875</v>
      </c>
      <c r="D456" s="999">
        <f t="shared" si="155"/>
        <v>4.375</v>
      </c>
      <c r="E456" s="1000">
        <f t="shared" si="155"/>
        <v>3.5416666666666665</v>
      </c>
      <c r="F456" s="1106">
        <f t="shared" si="155"/>
        <v>3.0625</v>
      </c>
      <c r="G456" s="1001">
        <f t="shared" si="155"/>
        <v>2.6666666666666665</v>
      </c>
      <c r="H456" s="999">
        <f>(H464+H472+H480+H488)/4</f>
        <v>4.625</v>
      </c>
      <c r="I456" s="1107">
        <f t="shared" ref="I456:K456" si="156">(I464+I472+I480+I488)/4</f>
        <v>5.041666666666667</v>
      </c>
      <c r="J456" s="997">
        <f t="shared" si="156"/>
        <v>3.645833333333333</v>
      </c>
      <c r="K456" s="1108">
        <f t="shared" si="156"/>
        <v>4.625</v>
      </c>
      <c r="L456" s="999"/>
      <c r="M456" s="1000"/>
      <c r="N456" s="998">
        <f t="shared" ref="N456:O456" si="157">(N464+N472+N480+N488)/4</f>
        <v>5.875</v>
      </c>
      <c r="O456" s="998">
        <f t="shared" si="157"/>
        <v>4</v>
      </c>
      <c r="P456" s="998"/>
      <c r="Q456" s="998"/>
      <c r="R456" s="998"/>
      <c r="S456" s="998">
        <f t="shared" ref="S456:T456" si="158">(S464+S472+S480+S488)/4</f>
        <v>5</v>
      </c>
      <c r="T456" s="998">
        <f t="shared" si="158"/>
        <v>5.2916666666666661</v>
      </c>
      <c r="U456" s="998"/>
      <c r="V456" s="998"/>
      <c r="W456" s="998"/>
      <c r="X456" s="998"/>
      <c r="Y456" s="998"/>
      <c r="Z456" s="998"/>
      <c r="AA456" s="998"/>
      <c r="AB456" s="1001"/>
      <c r="AC456" s="1002">
        <f>AC452/AC453</f>
        <v>4.1884057971014492</v>
      </c>
    </row>
    <row r="457" spans="1:29">
      <c r="A457" s="1003" t="s">
        <v>8</v>
      </c>
      <c r="B457" s="1004">
        <f t="shared" ref="B457:G457" si="159">(B465+B473+B481+B489)/4</f>
        <v>6</v>
      </c>
      <c r="C457" s="1005">
        <f t="shared" si="159"/>
        <v>4.125</v>
      </c>
      <c r="D457" s="1109">
        <f t="shared" si="159"/>
        <v>4.75</v>
      </c>
      <c r="E457" s="1006">
        <f t="shared" si="159"/>
        <v>6.208333333333333</v>
      </c>
      <c r="F457" s="1005">
        <f t="shared" si="159"/>
        <v>4.5833333333333339</v>
      </c>
      <c r="G457" s="1110">
        <f t="shared" si="159"/>
        <v>2.6666666666666665</v>
      </c>
      <c r="H457" s="1109">
        <f>(H465+H473+H481+H489)/4</f>
        <v>4.625</v>
      </c>
      <c r="I457" s="1111">
        <f t="shared" ref="I457:K457" si="160">(I465+I473+I481+I489)/4</f>
        <v>6.916666666666667</v>
      </c>
      <c r="J457" s="1004">
        <f t="shared" si="160"/>
        <v>5.208333333333333</v>
      </c>
      <c r="K457" s="1112">
        <f t="shared" si="160"/>
        <v>4</v>
      </c>
      <c r="L457" s="1109"/>
      <c r="M457" s="1006"/>
      <c r="N457" s="1005">
        <f t="shared" ref="N457:O457" si="161">(N465+N473+N481+N489)/4</f>
        <v>5.875</v>
      </c>
      <c r="O457" s="1005">
        <f t="shared" si="161"/>
        <v>4.25</v>
      </c>
      <c r="P457" s="1005"/>
      <c r="Q457" s="1005"/>
      <c r="R457" s="1005"/>
      <c r="S457" s="1005">
        <f t="shared" ref="S457:T457" si="162">(S465+S473+S481+S489)/4</f>
        <v>6.25</v>
      </c>
      <c r="T457" s="1005">
        <f t="shared" si="162"/>
        <v>6.25</v>
      </c>
      <c r="U457" s="1005"/>
      <c r="V457" s="1005"/>
      <c r="W457" s="1005"/>
      <c r="X457" s="1005"/>
      <c r="Y457" s="1005"/>
      <c r="Z457" s="1005"/>
      <c r="AA457" s="1005"/>
      <c r="AB457" s="1110"/>
      <c r="AC457" s="1007">
        <f>AC452/(AC453-AC454)</f>
        <v>5.3518518518518521</v>
      </c>
    </row>
    <row r="458" spans="1:29" ht="3" customHeight="1">
      <c r="E458" s="582"/>
      <c r="F458" s="582"/>
      <c r="G458" s="582"/>
      <c r="H458" s="582"/>
      <c r="I458" s="582"/>
      <c r="J458" s="582"/>
      <c r="K458" s="582"/>
      <c r="L458" s="582"/>
      <c r="M458" s="1025"/>
      <c r="N458" s="582"/>
      <c r="O458" s="582"/>
      <c r="P458" s="582"/>
      <c r="Q458" s="582"/>
      <c r="R458" s="582"/>
      <c r="S458" s="582"/>
      <c r="T458" s="582"/>
      <c r="U458" s="582"/>
      <c r="V458" s="582"/>
      <c r="W458" s="582"/>
      <c r="X458" s="582"/>
      <c r="Y458" s="582"/>
      <c r="Z458" s="582"/>
      <c r="AA458" s="582"/>
    </row>
    <row r="459" spans="1:29" hidden="1" outlineLevel="1">
      <c r="A459" s="1178" t="s">
        <v>164</v>
      </c>
      <c r="B459" s="1021"/>
      <c r="C459" s="1022"/>
      <c r="D459" s="1021"/>
      <c r="E459" s="1023"/>
      <c r="F459" s="1022"/>
      <c r="G459" s="1023"/>
      <c r="H459" s="1021"/>
      <c r="I459" s="1023"/>
      <c r="J459" s="1021"/>
      <c r="K459" s="1023"/>
      <c r="L459" s="1021"/>
      <c r="M459" s="1023"/>
      <c r="N459" s="1022"/>
      <c r="O459" s="1022"/>
      <c r="P459" s="1022"/>
      <c r="Q459" s="1022"/>
      <c r="R459" s="1022"/>
      <c r="S459" s="1022"/>
      <c r="T459" s="1022"/>
      <c r="U459" s="1022"/>
      <c r="V459" s="1022"/>
      <c r="W459" s="1022"/>
      <c r="X459" s="1022"/>
      <c r="Y459" s="1022"/>
      <c r="Z459" s="1022"/>
      <c r="AA459" s="1022"/>
      <c r="AB459" s="1023"/>
      <c r="AC459" s="1178"/>
    </row>
    <row r="460" spans="1:29" hidden="1" outlineLevel="1">
      <c r="A460" s="971" t="s">
        <v>3</v>
      </c>
      <c r="B460" s="1027">
        <f>'Gruppe B'!BW20</f>
        <v>8</v>
      </c>
      <c r="C460" s="113">
        <f>'Gruppe B'!C148</f>
        <v>10</v>
      </c>
      <c r="D460" s="1028">
        <f>'Gruppe B'!P148</f>
        <v>18</v>
      </c>
      <c r="E460" s="1029">
        <f>'Gruppe B'!BW43</f>
        <v>19</v>
      </c>
      <c r="F460" s="113">
        <f>'Gruppe B'!BC148</f>
        <v>20</v>
      </c>
      <c r="G460" s="1031">
        <f>'Gruppe B'!BW121</f>
        <v>0</v>
      </c>
      <c r="H460" s="1027">
        <f>'Gruppe B'!BW97</f>
        <v>11</v>
      </c>
      <c r="I460" s="1029">
        <f>'Gruppe B'!AP148</f>
        <v>17</v>
      </c>
      <c r="J460" s="1028">
        <f>'Gruppe B'!AC148</f>
        <v>8</v>
      </c>
      <c r="K460" s="1079">
        <f>'Gruppe B'!BW66</f>
        <v>17</v>
      </c>
      <c r="L460" s="1027"/>
      <c r="M460" s="1031"/>
      <c r="N460" s="1079">
        <f>'Spiel 7 - Viertelfinal'!I107</f>
        <v>15</v>
      </c>
      <c r="O460" s="1079">
        <f>'Spiel 7 - Viertelfinal'!O107</f>
        <v>12</v>
      </c>
      <c r="P460" s="1079"/>
      <c r="Q460" s="1079"/>
      <c r="R460" s="1079"/>
      <c r="S460" s="1079">
        <f>'Spiel 9 - Final'!B117</f>
        <v>13</v>
      </c>
      <c r="T460" s="1079">
        <f>'Spiel 9 - Final'!V117</f>
        <v>12</v>
      </c>
      <c r="U460" s="1079"/>
      <c r="V460" s="1079"/>
      <c r="W460" s="1079"/>
      <c r="X460" s="1079"/>
      <c r="Y460" s="1079"/>
      <c r="Z460" s="1079"/>
      <c r="AA460" s="1079"/>
      <c r="AB460" s="1030"/>
      <c r="AC460" s="979">
        <f>SUM(B460:AB460)</f>
        <v>180</v>
      </c>
    </row>
    <row r="461" spans="1:29" hidden="1" outlineLevel="1">
      <c r="A461" s="971" t="s">
        <v>4</v>
      </c>
      <c r="B461" s="1028">
        <f>'Gruppe B'!BW21</f>
        <v>3</v>
      </c>
      <c r="C461" s="1079">
        <f>'Gruppe B'!C149</f>
        <v>2</v>
      </c>
      <c r="D461" s="1028">
        <f>'Gruppe B'!P149</f>
        <v>3</v>
      </c>
      <c r="E461" s="1031">
        <f>'Gruppe B'!BW44</f>
        <v>3</v>
      </c>
      <c r="F461" s="1079">
        <f>'Gruppe B'!BC149</f>
        <v>4</v>
      </c>
      <c r="G461" s="1030">
        <f>'Gruppe B'!BW122</f>
        <v>3</v>
      </c>
      <c r="H461" s="1028">
        <f>'Gruppe B'!BW98</f>
        <v>2</v>
      </c>
      <c r="I461" s="1029">
        <f>'Gruppe B'!AP149</f>
        <v>3</v>
      </c>
      <c r="J461" s="1027">
        <f>'Gruppe B'!AC149</f>
        <v>4</v>
      </c>
      <c r="K461" s="113">
        <f>'Gruppe B'!BW67</f>
        <v>3</v>
      </c>
      <c r="L461" s="1028"/>
      <c r="M461" s="1031"/>
      <c r="N461" s="1079">
        <f>'Spiel 7 - Viertelfinal'!I108</f>
        <v>2</v>
      </c>
      <c r="O461" s="1079">
        <f>'Spiel 7 - Viertelfinal'!O108</f>
        <v>2</v>
      </c>
      <c r="P461" s="1079"/>
      <c r="Q461" s="1079"/>
      <c r="R461" s="1079"/>
      <c r="S461" s="1079">
        <f>'Spiel 9 - Final'!B118</f>
        <v>3</v>
      </c>
      <c r="T461" s="1079">
        <f>'Spiel 9 - Final'!V118</f>
        <v>3</v>
      </c>
      <c r="U461" s="1079"/>
      <c r="V461" s="1079"/>
      <c r="W461" s="1079"/>
      <c r="X461" s="1079"/>
      <c r="Y461" s="1079"/>
      <c r="Z461" s="1079"/>
      <c r="AA461" s="1079"/>
      <c r="AB461" s="1030"/>
      <c r="AC461" s="985">
        <f>SUM(B461:AB461)</f>
        <v>40</v>
      </c>
    </row>
    <row r="462" spans="1:29" hidden="1" outlineLevel="1">
      <c r="A462" s="971" t="s">
        <v>6</v>
      </c>
      <c r="B462" s="1028">
        <f>'Gruppe B'!BW22</f>
        <v>1</v>
      </c>
      <c r="C462" s="115">
        <f>'Gruppe B'!C150</f>
        <v>1</v>
      </c>
      <c r="D462" s="972">
        <f>'Gruppe B'!P150</f>
        <v>0</v>
      </c>
      <c r="E462" s="973">
        <f>'Gruppe B'!BW45</f>
        <v>0</v>
      </c>
      <c r="F462" s="1287">
        <f>'Gruppe B'!BC150</f>
        <v>1</v>
      </c>
      <c r="G462" s="973">
        <f>'Gruppe B'!BW123</f>
        <v>0</v>
      </c>
      <c r="H462" s="972">
        <f>'Gruppe B'!BW99</f>
        <v>0</v>
      </c>
      <c r="I462" s="973">
        <f>'Gruppe B'!AP150</f>
        <v>0</v>
      </c>
      <c r="J462" s="1028">
        <f>'Gruppe B'!AC150</f>
        <v>2</v>
      </c>
      <c r="K462" s="973">
        <f>'Gruppe B'!BW68</f>
        <v>0</v>
      </c>
      <c r="L462" s="1027"/>
      <c r="M462" s="1029"/>
      <c r="N462" s="973">
        <f>'Spiel 7 - Viertelfinal'!I109</f>
        <v>0</v>
      </c>
      <c r="O462" s="973">
        <f>'Spiel 7 - Viertelfinal'!O109</f>
        <v>0</v>
      </c>
      <c r="P462" s="113"/>
      <c r="Q462" s="113"/>
      <c r="R462" s="113"/>
      <c r="S462" s="973">
        <f>'Spiel 9 - Final'!B119</f>
        <v>0</v>
      </c>
      <c r="T462" s="113">
        <f>'Spiel 9 - Final'!V119</f>
        <v>1</v>
      </c>
      <c r="U462" s="113"/>
      <c r="V462" s="113"/>
      <c r="W462" s="113"/>
      <c r="X462" s="113"/>
      <c r="Y462" s="113"/>
      <c r="Z462" s="113"/>
      <c r="AA462" s="113"/>
      <c r="AB462" s="1030"/>
      <c r="AC462" s="987">
        <f>SUM(B462:AB462)</f>
        <v>6</v>
      </c>
    </row>
    <row r="463" spans="1:29" hidden="1" outlineLevel="1">
      <c r="A463" s="971" t="s">
        <v>12</v>
      </c>
      <c r="B463" s="1039">
        <f>'Gruppe B'!BW23</f>
        <v>0.33333333333333331</v>
      </c>
      <c r="C463" s="1082">
        <f>'Gruppe B'!C151</f>
        <v>0.5</v>
      </c>
      <c r="D463" s="1043">
        <f>'Gruppe B'!P151</f>
        <v>0</v>
      </c>
      <c r="E463" s="989">
        <f>'Gruppe B'!BW46</f>
        <v>0</v>
      </c>
      <c r="F463" s="1288">
        <f>'Gruppe B'!BC151</f>
        <v>0.25</v>
      </c>
      <c r="G463" s="989">
        <f>'Gruppe B'!BW124</f>
        <v>0</v>
      </c>
      <c r="H463" s="1043">
        <f>'Gruppe B'!BW100</f>
        <v>0</v>
      </c>
      <c r="I463" s="989">
        <f>'Gruppe B'!AP151</f>
        <v>0</v>
      </c>
      <c r="J463" s="1039">
        <f>'Gruppe B'!AC151</f>
        <v>0.5</v>
      </c>
      <c r="K463" s="989">
        <f>'Gruppe B'!BW69</f>
        <v>0</v>
      </c>
      <c r="L463" s="1240"/>
      <c r="M463" s="1085"/>
      <c r="N463" s="989">
        <f>'Spiel 7 - Viertelfinal'!I110</f>
        <v>0</v>
      </c>
      <c r="O463" s="989">
        <f>'Spiel 7 - Viertelfinal'!O110</f>
        <v>0</v>
      </c>
      <c r="P463" s="1084"/>
      <c r="Q463" s="1084"/>
      <c r="R463" s="1084"/>
      <c r="S463" s="989">
        <f>'Spiel 9 - Final'!B120</f>
        <v>0</v>
      </c>
      <c r="T463" s="1084">
        <f>'Spiel 9 - Final'!V120</f>
        <v>0.33333333333333331</v>
      </c>
      <c r="U463" s="1084"/>
      <c r="V463" s="1084"/>
      <c r="W463" s="1084"/>
      <c r="X463" s="1084"/>
      <c r="Y463" s="1084"/>
      <c r="Z463" s="1084"/>
      <c r="AA463" s="1084"/>
      <c r="AB463" s="1086"/>
      <c r="AC463" s="996">
        <f>AC462/AC461</f>
        <v>0.15</v>
      </c>
    </row>
    <row r="464" spans="1:29" hidden="1" outlineLevel="1">
      <c r="A464" s="971" t="s">
        <v>5</v>
      </c>
      <c r="B464" s="1045">
        <f>'Gruppe B'!BW24</f>
        <v>2.6666666666666665</v>
      </c>
      <c r="C464" s="1088">
        <f>'Gruppe B'!C152</f>
        <v>5</v>
      </c>
      <c r="D464" s="1047">
        <f>'Gruppe B'!P152</f>
        <v>6</v>
      </c>
      <c r="E464" s="1050">
        <f>'Gruppe B'!BW47</f>
        <v>6.333333333333333</v>
      </c>
      <c r="F464" s="1124">
        <f>'Gruppe B'!BC152</f>
        <v>5</v>
      </c>
      <c r="G464" s="1049">
        <f>'Gruppe B'!BW125</f>
        <v>0</v>
      </c>
      <c r="H464" s="1047">
        <f>'Gruppe B'!BW101</f>
        <v>5.5</v>
      </c>
      <c r="I464" s="1048">
        <f>'Gruppe B'!AP152</f>
        <v>5.666666666666667</v>
      </c>
      <c r="J464" s="1045">
        <f>'Gruppe B'!AC152</f>
        <v>2</v>
      </c>
      <c r="K464" s="1046">
        <f>'Gruppe B'!BW70</f>
        <v>5.666666666666667</v>
      </c>
      <c r="L464" s="1047"/>
      <c r="M464" s="1050"/>
      <c r="N464" s="1088">
        <f>'Spiel 7 - Viertelfinal'!I111</f>
        <v>7.5</v>
      </c>
      <c r="O464" s="1088">
        <f>'Spiel 7 - Viertelfinal'!O111</f>
        <v>6</v>
      </c>
      <c r="P464" s="1088"/>
      <c r="Q464" s="1088"/>
      <c r="R464" s="1088"/>
      <c r="S464" s="1088">
        <f>'Spiel 9 - Final'!B121</f>
        <v>4.333333333333333</v>
      </c>
      <c r="T464" s="1088">
        <f>'Spiel 9 - Final'!V121</f>
        <v>4</v>
      </c>
      <c r="U464" s="1088"/>
      <c r="V464" s="1088"/>
      <c r="W464" s="1088"/>
      <c r="X464" s="1088"/>
      <c r="Y464" s="1088"/>
      <c r="Z464" s="1088"/>
      <c r="AA464" s="1088"/>
      <c r="AB464" s="1049"/>
      <c r="AC464" s="1002">
        <f>AC460/AC461</f>
        <v>4.5</v>
      </c>
    </row>
    <row r="465" spans="1:29" hidden="1" outlineLevel="1">
      <c r="A465" s="1003" t="s">
        <v>8</v>
      </c>
      <c r="B465" s="1053">
        <f>'Gruppe B'!BW25</f>
        <v>4</v>
      </c>
      <c r="C465" s="1091">
        <f>'Gruppe B'!C153</f>
        <v>10</v>
      </c>
      <c r="D465" s="1055">
        <f>'Gruppe B'!P153</f>
        <v>6</v>
      </c>
      <c r="E465" s="1058">
        <f>'Gruppe B'!BW48</f>
        <v>6.333333333333333</v>
      </c>
      <c r="F465" s="1091">
        <f>'Gruppe B'!BC153</f>
        <v>6.666666666666667</v>
      </c>
      <c r="G465" s="1057">
        <f>'Gruppe B'!BW126</f>
        <v>0</v>
      </c>
      <c r="H465" s="1055">
        <f>'Gruppe B'!BW102</f>
        <v>5.5</v>
      </c>
      <c r="I465" s="1056">
        <f>'Gruppe B'!AP153</f>
        <v>5.666666666666667</v>
      </c>
      <c r="J465" s="1053">
        <f>'Gruppe B'!AC153</f>
        <v>4</v>
      </c>
      <c r="K465" s="1054">
        <f>'Gruppe B'!BW71</f>
        <v>5.666666666666667</v>
      </c>
      <c r="L465" s="1055"/>
      <c r="M465" s="1058"/>
      <c r="N465" s="1091">
        <f>'Spiel 7 - Viertelfinal'!I112</f>
        <v>7.5</v>
      </c>
      <c r="O465" s="1091">
        <f>'Spiel 7 - Viertelfinal'!O112</f>
        <v>6</v>
      </c>
      <c r="P465" s="1091"/>
      <c r="Q465" s="1091"/>
      <c r="R465" s="1091"/>
      <c r="S465" s="1091">
        <f>'Spiel 9 - Final'!B122</f>
        <v>4.333333333333333</v>
      </c>
      <c r="T465" s="1091">
        <f>'Spiel 9 - Final'!V122</f>
        <v>6</v>
      </c>
      <c r="U465" s="1091"/>
      <c r="V465" s="1091"/>
      <c r="W465" s="1091"/>
      <c r="X465" s="1091"/>
      <c r="Y465" s="1091"/>
      <c r="Z465" s="1091"/>
      <c r="AA465" s="1091"/>
      <c r="AB465" s="1057"/>
      <c r="AC465" s="1007">
        <f>AC460/(AC461-AC462)</f>
        <v>5.2941176470588234</v>
      </c>
    </row>
    <row r="466" spans="1:29" ht="3" hidden="1" customHeight="1" outlineLevel="1">
      <c r="B466" s="582"/>
      <c r="C466" s="582"/>
      <c r="D466" s="582"/>
      <c r="E466" s="582"/>
      <c r="F466" s="582"/>
      <c r="G466" s="582"/>
      <c r="H466" s="582"/>
      <c r="I466" s="582"/>
      <c r="J466" s="582"/>
      <c r="K466" s="582"/>
      <c r="L466" s="582"/>
      <c r="M466" s="1025"/>
      <c r="N466" s="582"/>
      <c r="O466" s="582"/>
      <c r="P466" s="582"/>
      <c r="Q466" s="582"/>
      <c r="R466" s="582"/>
      <c r="S466" s="582"/>
      <c r="T466" s="582"/>
      <c r="U466" s="582"/>
      <c r="V466" s="582"/>
      <c r="W466" s="582"/>
      <c r="X466" s="582"/>
      <c r="Y466" s="582"/>
      <c r="Z466" s="582"/>
      <c r="AA466" s="582"/>
      <c r="AB466" s="582"/>
    </row>
    <row r="467" spans="1:29" hidden="1" outlineLevel="1">
      <c r="A467" s="1178" t="s">
        <v>165</v>
      </c>
      <c r="B467" s="1242"/>
      <c r="C467" s="1243"/>
      <c r="D467" s="1021"/>
      <c r="E467" s="1023"/>
      <c r="F467" s="1022"/>
      <c r="G467" s="1023"/>
      <c r="H467" s="1021"/>
      <c r="I467" s="1023"/>
      <c r="J467" s="1021"/>
      <c r="K467" s="1023"/>
      <c r="L467" s="1021"/>
      <c r="M467" s="1023"/>
      <c r="N467" s="1022"/>
      <c r="O467" s="1022"/>
      <c r="P467" s="1022"/>
      <c r="Q467" s="1022"/>
      <c r="R467" s="1022"/>
      <c r="S467" s="1022"/>
      <c r="T467" s="1022"/>
      <c r="U467" s="1022"/>
      <c r="V467" s="1022"/>
      <c r="W467" s="1022"/>
      <c r="X467" s="1022"/>
      <c r="Y467" s="1022"/>
      <c r="Z467" s="1022"/>
      <c r="AA467" s="1022"/>
      <c r="AB467" s="1023"/>
      <c r="AC467" s="1178"/>
    </row>
    <row r="468" spans="1:29" hidden="1" outlineLevel="1">
      <c r="A468" s="971" t="s">
        <v>3</v>
      </c>
      <c r="B468" s="1027">
        <f>'Gruppe B'!BX20</f>
        <v>9</v>
      </c>
      <c r="C468" s="113">
        <f>'Gruppe B'!D148</f>
        <v>6</v>
      </c>
      <c r="D468" s="1028">
        <f>'Gruppe B'!Q148</f>
        <v>21</v>
      </c>
      <c r="E468" s="1029">
        <f>'Gruppe B'!BX43</f>
        <v>11</v>
      </c>
      <c r="F468" s="113">
        <f>'Gruppe B'!BD148</f>
        <v>17</v>
      </c>
      <c r="G468" s="1031">
        <f>'Gruppe B'!BX121</f>
        <v>16</v>
      </c>
      <c r="H468" s="1027">
        <f>'Gruppe B'!BX97</f>
        <v>8</v>
      </c>
      <c r="I468" s="1029">
        <f>'Gruppe B'!AQ148</f>
        <v>3</v>
      </c>
      <c r="J468" s="1028">
        <f>'Gruppe B'!AD148</f>
        <v>13</v>
      </c>
      <c r="K468" s="1079">
        <f>'Gruppe B'!BX66</f>
        <v>22</v>
      </c>
      <c r="L468" s="1027"/>
      <c r="M468" s="1031"/>
      <c r="N468" s="1079">
        <f>'Spiel 7 - Viertelfinal'!J107</f>
        <v>7</v>
      </c>
      <c r="O468" s="1079">
        <f>'Spiel 7 - Viertelfinal'!P107</f>
        <v>2</v>
      </c>
      <c r="P468" s="1079"/>
      <c r="Q468" s="1079"/>
      <c r="R468" s="1079"/>
      <c r="S468" s="1079">
        <f>'Spiel 9 - Final'!C117</f>
        <v>17</v>
      </c>
      <c r="T468" s="1079">
        <f>'Spiel 9 - Final'!W117</f>
        <v>11</v>
      </c>
      <c r="U468" s="1079"/>
      <c r="V468" s="1079"/>
      <c r="W468" s="1079"/>
      <c r="X468" s="1079"/>
      <c r="Y468" s="1079"/>
      <c r="Z468" s="1079"/>
      <c r="AA468" s="1079"/>
      <c r="AB468" s="1030"/>
      <c r="AC468" s="979">
        <f>SUM(B468:AB468)</f>
        <v>163</v>
      </c>
    </row>
    <row r="469" spans="1:29" hidden="1" outlineLevel="1">
      <c r="A469" s="971" t="s">
        <v>4</v>
      </c>
      <c r="B469" s="1028">
        <f>'Gruppe B'!BX21</f>
        <v>3</v>
      </c>
      <c r="C469" s="1079">
        <f>'Gruppe B'!D149</f>
        <v>2</v>
      </c>
      <c r="D469" s="1028">
        <f>'Gruppe B'!Q149</f>
        <v>3</v>
      </c>
      <c r="E469" s="1031">
        <f>'Gruppe B'!BX44</f>
        <v>3</v>
      </c>
      <c r="F469" s="1079">
        <f>'Gruppe B'!BD149</f>
        <v>4</v>
      </c>
      <c r="G469" s="1030">
        <f>'Gruppe B'!BX122</f>
        <v>3</v>
      </c>
      <c r="H469" s="1028">
        <f>'Gruppe B'!BX98</f>
        <v>2</v>
      </c>
      <c r="I469" s="1029">
        <f>'Gruppe B'!AQ149</f>
        <v>2</v>
      </c>
      <c r="J469" s="1027">
        <f>'Gruppe B'!AD149</f>
        <v>4</v>
      </c>
      <c r="K469" s="113">
        <f>'Gruppe B'!BX67</f>
        <v>3</v>
      </c>
      <c r="L469" s="1028"/>
      <c r="M469" s="1031"/>
      <c r="N469" s="1079">
        <f>'Spiel 7 - Viertelfinal'!J108</f>
        <v>1</v>
      </c>
      <c r="O469" s="1079">
        <f>'Spiel 7 - Viertelfinal'!P108</f>
        <v>2</v>
      </c>
      <c r="P469" s="1079"/>
      <c r="Q469" s="1079"/>
      <c r="R469" s="1079"/>
      <c r="S469" s="1079">
        <f>'Spiel 9 - Final'!C118</f>
        <v>3</v>
      </c>
      <c r="T469" s="1079">
        <f>'Spiel 9 - Final'!W118</f>
        <v>3</v>
      </c>
      <c r="U469" s="1079"/>
      <c r="V469" s="1079"/>
      <c r="W469" s="1079"/>
      <c r="X469" s="1079"/>
      <c r="Y469" s="1079"/>
      <c r="Z469" s="1079"/>
      <c r="AA469" s="1079"/>
      <c r="AB469" s="1030"/>
      <c r="AC469" s="985">
        <f>SUM(B469:AB469)</f>
        <v>38</v>
      </c>
    </row>
    <row r="470" spans="1:29" hidden="1" outlineLevel="1">
      <c r="A470" s="971" t="s">
        <v>6</v>
      </c>
      <c r="B470" s="972">
        <f>'Gruppe B'!BX22</f>
        <v>0</v>
      </c>
      <c r="C470" s="973">
        <f>'Gruppe B'!D150</f>
        <v>0</v>
      </c>
      <c r="D470" s="972">
        <f>'Gruppe B'!Q150</f>
        <v>0</v>
      </c>
      <c r="E470" s="113">
        <f>'Gruppe B'!BX45</f>
        <v>2</v>
      </c>
      <c r="F470" s="1287">
        <f>'Gruppe B'!BD150</f>
        <v>1</v>
      </c>
      <c r="G470" s="973">
        <f>'Gruppe B'!BX123</f>
        <v>0</v>
      </c>
      <c r="H470" s="972">
        <f>'Gruppe B'!BX99</f>
        <v>0</v>
      </c>
      <c r="I470" s="115">
        <f>'Gruppe B'!AQ150</f>
        <v>1</v>
      </c>
      <c r="J470" s="1028">
        <f>'Gruppe B'!AD150</f>
        <v>2</v>
      </c>
      <c r="K470" s="973">
        <f>'Gruppe B'!BX68</f>
        <v>0</v>
      </c>
      <c r="L470" s="1027"/>
      <c r="M470" s="1029"/>
      <c r="N470" s="973">
        <f>'Spiel 7 - Viertelfinal'!J109</f>
        <v>0</v>
      </c>
      <c r="O470" s="113">
        <f>'Spiel 7 - Viertelfinal'!P109</f>
        <v>1</v>
      </c>
      <c r="P470" s="113"/>
      <c r="Q470" s="113"/>
      <c r="R470" s="113"/>
      <c r="S470" s="973">
        <f>'Spiel 9 - Final'!C119</f>
        <v>0</v>
      </c>
      <c r="T470" s="113">
        <f>'Spiel 9 - Final'!W119</f>
        <v>1</v>
      </c>
      <c r="U470" s="113"/>
      <c r="V470" s="113"/>
      <c r="W470" s="113"/>
      <c r="X470" s="113"/>
      <c r="Y470" s="113"/>
      <c r="Z470" s="113"/>
      <c r="AA470" s="113"/>
      <c r="AB470" s="1030"/>
      <c r="AC470" s="987">
        <f>SUM(B470:AB470)</f>
        <v>8</v>
      </c>
    </row>
    <row r="471" spans="1:29" hidden="1" outlineLevel="1">
      <c r="A471" s="971" t="s">
        <v>12</v>
      </c>
      <c r="B471" s="1043">
        <f>'Gruppe B'!BX23</f>
        <v>0</v>
      </c>
      <c r="C471" s="989">
        <f>'Gruppe B'!D151</f>
        <v>0</v>
      </c>
      <c r="D471" s="1043">
        <f>'Gruppe B'!Q151</f>
        <v>0</v>
      </c>
      <c r="E471" s="1084">
        <f>'Gruppe B'!BX46</f>
        <v>0.66666666666666663</v>
      </c>
      <c r="F471" s="1288">
        <f>'Gruppe B'!BD151</f>
        <v>0.25</v>
      </c>
      <c r="G471" s="989">
        <f>'Gruppe B'!BX124</f>
        <v>0</v>
      </c>
      <c r="H471" s="1043">
        <f>'Gruppe B'!BX100</f>
        <v>0</v>
      </c>
      <c r="I471" s="1082">
        <f>'Gruppe B'!AQ151</f>
        <v>0.5</v>
      </c>
      <c r="J471" s="1039">
        <f>'Gruppe B'!AD151</f>
        <v>0.5</v>
      </c>
      <c r="K471" s="989">
        <f>'Gruppe B'!BX69</f>
        <v>0</v>
      </c>
      <c r="L471" s="1240"/>
      <c r="M471" s="1085"/>
      <c r="N471" s="989">
        <f>'Spiel 7 - Viertelfinal'!J110</f>
        <v>0</v>
      </c>
      <c r="O471" s="1084">
        <f>'Spiel 7 - Viertelfinal'!P110</f>
        <v>0.5</v>
      </c>
      <c r="P471" s="1084"/>
      <c r="Q471" s="1084"/>
      <c r="R471" s="1084"/>
      <c r="S471" s="989">
        <f>'Spiel 9 - Final'!C120</f>
        <v>0</v>
      </c>
      <c r="T471" s="1084">
        <f>'Spiel 9 - Final'!W120</f>
        <v>0.33333333333333331</v>
      </c>
      <c r="U471" s="1084"/>
      <c r="V471" s="1084"/>
      <c r="W471" s="1084"/>
      <c r="X471" s="1084"/>
      <c r="Y471" s="1084"/>
      <c r="Z471" s="1084"/>
      <c r="AA471" s="1084"/>
      <c r="AB471" s="1086"/>
      <c r="AC471" s="996">
        <f>AC470/AC469</f>
        <v>0.21052631578947367</v>
      </c>
    </row>
    <row r="472" spans="1:29" hidden="1" outlineLevel="1">
      <c r="A472" s="971" t="s">
        <v>5</v>
      </c>
      <c r="B472" s="1045">
        <f>'Gruppe B'!BX24</f>
        <v>3</v>
      </c>
      <c r="C472" s="1088">
        <f>'Gruppe B'!D152</f>
        <v>3</v>
      </c>
      <c r="D472" s="1047">
        <f>'Gruppe B'!Q152</f>
        <v>7</v>
      </c>
      <c r="E472" s="1050">
        <f>'Gruppe B'!BX47</f>
        <v>3.6666666666666665</v>
      </c>
      <c r="F472" s="1124">
        <f>'Gruppe B'!BD152</f>
        <v>4.25</v>
      </c>
      <c r="G472" s="1049">
        <f>'Gruppe B'!BX125</f>
        <v>5.333333333333333</v>
      </c>
      <c r="H472" s="1047">
        <f>'Gruppe B'!BX101</f>
        <v>4</v>
      </c>
      <c r="I472" s="1048">
        <f>'Gruppe B'!AQ152</f>
        <v>1.5</v>
      </c>
      <c r="J472" s="1045">
        <f>'Gruppe B'!AD152</f>
        <v>3.25</v>
      </c>
      <c r="K472" s="1046">
        <f>'Gruppe B'!BX70</f>
        <v>7.333333333333333</v>
      </c>
      <c r="L472" s="1047"/>
      <c r="M472" s="1050"/>
      <c r="N472" s="1088">
        <f>'Spiel 7 - Viertelfinal'!J111</f>
        <v>7</v>
      </c>
      <c r="O472" s="1088">
        <f>'Spiel 7 - Viertelfinal'!P111</f>
        <v>1</v>
      </c>
      <c r="P472" s="1088"/>
      <c r="Q472" s="1088"/>
      <c r="R472" s="1088"/>
      <c r="S472" s="1088">
        <f>'Spiel 9 - Final'!C121</f>
        <v>5.666666666666667</v>
      </c>
      <c r="T472" s="1088">
        <f>'Spiel 9 - Final'!W121</f>
        <v>3.6666666666666665</v>
      </c>
      <c r="U472" s="1088"/>
      <c r="V472" s="1088"/>
      <c r="W472" s="1088"/>
      <c r="X472" s="1088"/>
      <c r="Y472" s="1088"/>
      <c r="Z472" s="1088"/>
      <c r="AA472" s="1088"/>
      <c r="AB472" s="1049"/>
      <c r="AC472" s="1002">
        <f>AC468/AC469</f>
        <v>4.2894736842105265</v>
      </c>
    </row>
    <row r="473" spans="1:29" hidden="1" outlineLevel="1">
      <c r="A473" s="1003" t="s">
        <v>8</v>
      </c>
      <c r="B473" s="1053">
        <f>'Gruppe B'!BX25</f>
        <v>3</v>
      </c>
      <c r="C473" s="1091">
        <f>'Gruppe B'!D153</f>
        <v>3</v>
      </c>
      <c r="D473" s="1055">
        <f>'Gruppe B'!Q153</f>
        <v>7</v>
      </c>
      <c r="E473" s="1058">
        <f>'Gruppe B'!BX48</f>
        <v>11</v>
      </c>
      <c r="F473" s="1091">
        <f>'Gruppe B'!BD153</f>
        <v>5.666666666666667</v>
      </c>
      <c r="G473" s="1057">
        <f>'Gruppe B'!BX126</f>
        <v>5.333333333333333</v>
      </c>
      <c r="H473" s="1055">
        <f>'Gruppe B'!BX102</f>
        <v>4</v>
      </c>
      <c r="I473" s="1056">
        <f>'Gruppe B'!AQ153</f>
        <v>3</v>
      </c>
      <c r="J473" s="1053">
        <f>'Gruppe B'!AD153</f>
        <v>6.5</v>
      </c>
      <c r="K473" s="1054">
        <f>'Gruppe B'!BX71</f>
        <v>7.333333333333333</v>
      </c>
      <c r="L473" s="1055"/>
      <c r="M473" s="1058"/>
      <c r="N473" s="1091">
        <f>'Spiel 7 - Viertelfinal'!J112</f>
        <v>7</v>
      </c>
      <c r="O473" s="1091">
        <f>'Spiel 7 - Viertelfinal'!P112</f>
        <v>2</v>
      </c>
      <c r="P473" s="1091"/>
      <c r="Q473" s="1091"/>
      <c r="R473" s="1091"/>
      <c r="S473" s="1091">
        <f>'Spiel 9 - Final'!C122</f>
        <v>5.666666666666667</v>
      </c>
      <c r="T473" s="1091">
        <f>'Spiel 9 - Final'!W122</f>
        <v>5.5</v>
      </c>
      <c r="U473" s="1091"/>
      <c r="V473" s="1091"/>
      <c r="W473" s="1091"/>
      <c r="X473" s="1091"/>
      <c r="Y473" s="1091"/>
      <c r="Z473" s="1091"/>
      <c r="AA473" s="1091"/>
      <c r="AB473" s="1057"/>
      <c r="AC473" s="1007">
        <f>AC468/(AC469-AC470)</f>
        <v>5.4333333333333336</v>
      </c>
    </row>
    <row r="474" spans="1:29" ht="3" hidden="1" customHeight="1" outlineLevel="1">
      <c r="B474" s="582"/>
      <c r="C474" s="582"/>
      <c r="D474" s="582"/>
      <c r="E474" s="582"/>
      <c r="F474" s="582"/>
      <c r="G474" s="582"/>
      <c r="H474" s="582"/>
      <c r="I474" s="582"/>
      <c r="J474" s="582"/>
      <c r="K474" s="582"/>
      <c r="L474" s="582"/>
      <c r="M474" s="1025"/>
      <c r="N474" s="582"/>
      <c r="O474" s="582"/>
      <c r="P474" s="582"/>
      <c r="Q474" s="582"/>
      <c r="R474" s="582"/>
      <c r="S474" s="582"/>
      <c r="T474" s="582"/>
      <c r="U474" s="582"/>
      <c r="V474" s="582"/>
      <c r="W474" s="582"/>
      <c r="X474" s="582"/>
      <c r="Y474" s="582"/>
      <c r="Z474" s="582"/>
      <c r="AA474" s="582"/>
      <c r="AB474" s="582"/>
    </row>
    <row r="475" spans="1:29" hidden="1" outlineLevel="1">
      <c r="A475" s="1178" t="s">
        <v>166</v>
      </c>
      <c r="B475" s="1021"/>
      <c r="C475" s="1022"/>
      <c r="D475" s="1021"/>
      <c r="E475" s="1023"/>
      <c r="F475" s="1022"/>
      <c r="G475" s="1023"/>
      <c r="H475" s="1021"/>
      <c r="I475" s="1023"/>
      <c r="J475" s="1021"/>
      <c r="K475" s="1023"/>
      <c r="L475" s="1021"/>
      <c r="M475" s="1023"/>
      <c r="N475" s="1022"/>
      <c r="O475" s="1022"/>
      <c r="P475" s="1022"/>
      <c r="Q475" s="1022"/>
      <c r="R475" s="1022"/>
      <c r="S475" s="1022"/>
      <c r="T475" s="1022"/>
      <c r="U475" s="1022"/>
      <c r="V475" s="1022"/>
      <c r="W475" s="1022"/>
      <c r="X475" s="1022"/>
      <c r="Y475" s="1022"/>
      <c r="Z475" s="1022"/>
      <c r="AA475" s="1022"/>
      <c r="AB475" s="1023"/>
      <c r="AC475" s="1178"/>
    </row>
    <row r="476" spans="1:29" hidden="1" outlineLevel="1">
      <c r="A476" s="971" t="s">
        <v>3</v>
      </c>
      <c r="B476" s="1027">
        <f>'Gruppe B'!BY20</f>
        <v>24</v>
      </c>
      <c r="C476" s="113">
        <f>'Gruppe B'!E148</f>
        <v>7</v>
      </c>
      <c r="D476" s="1028">
        <f>'Gruppe B'!R148</f>
        <v>3</v>
      </c>
      <c r="E476" s="1029">
        <f>'Gruppe B'!BY43</f>
        <v>5</v>
      </c>
      <c r="F476" s="113">
        <f>'Gruppe B'!BE148</f>
        <v>3</v>
      </c>
      <c r="G476" s="1031">
        <f>'Gruppe B'!BY121</f>
        <v>16</v>
      </c>
      <c r="H476" s="1027">
        <f>'Gruppe B'!BY97</f>
        <v>2</v>
      </c>
      <c r="I476" s="1029">
        <f>'Gruppe B'!AR148</f>
        <v>12</v>
      </c>
      <c r="J476" s="1028">
        <f>'Gruppe B'!AE148</f>
        <v>22</v>
      </c>
      <c r="K476" s="1079">
        <f>'Gruppe B'!BY66</f>
        <v>6</v>
      </c>
      <c r="L476" s="1027"/>
      <c r="M476" s="1031"/>
      <c r="N476" s="1079">
        <f>'Spiel 7 - Viertelfinal'!K107</f>
        <v>7</v>
      </c>
      <c r="O476" s="1079">
        <f>'Spiel 7 - Viertelfinal'!Q107</f>
        <v>18</v>
      </c>
      <c r="P476" s="1079"/>
      <c r="Q476" s="1079"/>
      <c r="R476" s="1079"/>
      <c r="S476" s="1079">
        <f>'Spiel 9 - Final'!D117</f>
        <v>10</v>
      </c>
      <c r="T476" s="1079">
        <f>'Spiel 9 - Final'!X117</f>
        <v>13</v>
      </c>
      <c r="U476" s="1079"/>
      <c r="V476" s="1079"/>
      <c r="W476" s="1079"/>
      <c r="X476" s="1079"/>
      <c r="Y476" s="1079"/>
      <c r="Z476" s="1079"/>
      <c r="AA476" s="1079"/>
      <c r="AB476" s="1030"/>
      <c r="AC476" s="979">
        <f>SUM(B476:AB476)</f>
        <v>148</v>
      </c>
    </row>
    <row r="477" spans="1:29" hidden="1" outlineLevel="1">
      <c r="A477" s="971" t="s">
        <v>4</v>
      </c>
      <c r="B477" s="1028">
        <f>'Gruppe B'!BY21</f>
        <v>3</v>
      </c>
      <c r="C477" s="1079">
        <f>'Gruppe B'!E149</f>
        <v>2</v>
      </c>
      <c r="D477" s="1028">
        <f>'Gruppe B'!R149</f>
        <v>2</v>
      </c>
      <c r="E477" s="1031">
        <f>'Gruppe B'!BY44</f>
        <v>3</v>
      </c>
      <c r="F477" s="1079">
        <f>'Gruppe B'!BE149</f>
        <v>4</v>
      </c>
      <c r="G477" s="1030">
        <f>'Gruppe B'!BY122</f>
        <v>3</v>
      </c>
      <c r="H477" s="1028">
        <f>'Gruppe B'!BY98</f>
        <v>1</v>
      </c>
      <c r="I477" s="1029">
        <f>'Gruppe B'!AR149</f>
        <v>2</v>
      </c>
      <c r="J477" s="1027">
        <f>'Gruppe B'!AE149</f>
        <v>3</v>
      </c>
      <c r="K477" s="113">
        <f>'Gruppe B'!BY67</f>
        <v>2</v>
      </c>
      <c r="L477" s="1028"/>
      <c r="M477" s="1031"/>
      <c r="N477" s="1079">
        <f>'Spiel 7 - Viertelfinal'!K108</f>
        <v>1</v>
      </c>
      <c r="O477" s="1079">
        <f>'Spiel 7 - Viertelfinal'!Q108</f>
        <v>2</v>
      </c>
      <c r="P477" s="1079"/>
      <c r="Q477" s="1079"/>
      <c r="R477" s="1079"/>
      <c r="S477" s="1079">
        <f>'Spiel 9 - Final'!D118</f>
        <v>2</v>
      </c>
      <c r="T477" s="1079">
        <f>'Spiel 9 - Final'!X118</f>
        <v>2</v>
      </c>
      <c r="U477" s="1079"/>
      <c r="V477" s="1079"/>
      <c r="W477" s="1079"/>
      <c r="X477" s="1079"/>
      <c r="Y477" s="1079"/>
      <c r="Z477" s="1079"/>
      <c r="AA477" s="1079"/>
      <c r="AB477" s="1030"/>
      <c r="AC477" s="985">
        <f>SUM(B477:AB477)</f>
        <v>32</v>
      </c>
    </row>
    <row r="478" spans="1:29" hidden="1" outlineLevel="1">
      <c r="A478" s="971" t="s">
        <v>6</v>
      </c>
      <c r="B478" s="972">
        <f>'Gruppe B'!BY22</f>
        <v>0</v>
      </c>
      <c r="C478" s="973">
        <f>'Gruppe B'!E150</f>
        <v>0</v>
      </c>
      <c r="D478" s="1028">
        <f>'Gruppe B'!R150</f>
        <v>1</v>
      </c>
      <c r="E478" s="115">
        <f>'Gruppe B'!BY45</f>
        <v>2</v>
      </c>
      <c r="F478" s="1287">
        <f>'Gruppe B'!BE150</f>
        <v>2</v>
      </c>
      <c r="G478" s="973">
        <f>'Gruppe B'!BY123</f>
        <v>0</v>
      </c>
      <c r="H478" s="972">
        <f>'Gruppe B'!BY99</f>
        <v>0</v>
      </c>
      <c r="I478" s="113">
        <f>'Gruppe B'!AR150</f>
        <v>1</v>
      </c>
      <c r="J478" s="972">
        <f>'Gruppe B'!AE150</f>
        <v>0</v>
      </c>
      <c r="K478" s="973">
        <f>'Gruppe B'!BY68</f>
        <v>0</v>
      </c>
      <c r="L478" s="1028"/>
      <c r="M478" s="1029"/>
      <c r="N478" s="973">
        <f>'Spiel 7 - Viertelfinal'!K109</f>
        <v>0</v>
      </c>
      <c r="O478" s="973">
        <f>'Spiel 7 - Viertelfinal'!Q109</f>
        <v>0</v>
      </c>
      <c r="P478" s="113"/>
      <c r="Q478" s="113"/>
      <c r="R478" s="113"/>
      <c r="S478" s="113">
        <f>'Spiel 9 - Final'!D119</f>
        <v>1</v>
      </c>
      <c r="T478" s="973">
        <f>'Spiel 9 - Final'!X119</f>
        <v>0</v>
      </c>
      <c r="U478" s="113"/>
      <c r="V478" s="113"/>
      <c r="W478" s="113"/>
      <c r="X478" s="113"/>
      <c r="Y478" s="113"/>
      <c r="Z478" s="113"/>
      <c r="AA478" s="113"/>
      <c r="AB478" s="1030"/>
      <c r="AC478" s="987">
        <f>SUM(B478:AB478)</f>
        <v>7</v>
      </c>
    </row>
    <row r="479" spans="1:29" hidden="1" outlineLevel="1">
      <c r="A479" s="971" t="s">
        <v>12</v>
      </c>
      <c r="B479" s="1043">
        <f>'Gruppe B'!BY23</f>
        <v>0</v>
      </c>
      <c r="C479" s="989">
        <f>'Gruppe B'!E151</f>
        <v>0</v>
      </c>
      <c r="D479" s="1083">
        <f>'Gruppe B'!R151</f>
        <v>0.5</v>
      </c>
      <c r="E479" s="1082">
        <f>'Gruppe B'!BY46</f>
        <v>0.66666666666666663</v>
      </c>
      <c r="F479" s="1288">
        <f>'Gruppe B'!BE151</f>
        <v>0.5</v>
      </c>
      <c r="G479" s="989">
        <f>'Gruppe B'!BY124</f>
        <v>0</v>
      </c>
      <c r="H479" s="1043">
        <f>'Gruppe B'!BY100</f>
        <v>0</v>
      </c>
      <c r="I479" s="1084">
        <f>'Gruppe B'!AR151</f>
        <v>0.5</v>
      </c>
      <c r="J479" s="1043">
        <f>'Gruppe B'!AE151</f>
        <v>0</v>
      </c>
      <c r="K479" s="989">
        <f>'Gruppe B'!BY69</f>
        <v>0</v>
      </c>
      <c r="L479" s="1083"/>
      <c r="M479" s="1085"/>
      <c r="N479" s="989">
        <f>'Spiel 7 - Viertelfinal'!K110</f>
        <v>0</v>
      </c>
      <c r="O479" s="989">
        <f>'Spiel 7 - Viertelfinal'!Q110</f>
        <v>0</v>
      </c>
      <c r="P479" s="1084"/>
      <c r="Q479" s="1084"/>
      <c r="R479" s="1084"/>
      <c r="S479" s="1084">
        <f>'Spiel 9 - Final'!D120</f>
        <v>0.5</v>
      </c>
      <c r="T479" s="989">
        <f>'Spiel 9 - Final'!X120</f>
        <v>0</v>
      </c>
      <c r="U479" s="1084"/>
      <c r="V479" s="1084"/>
      <c r="W479" s="1084"/>
      <c r="X479" s="1084"/>
      <c r="Y479" s="1084"/>
      <c r="Z479" s="1084"/>
      <c r="AA479" s="1084"/>
      <c r="AB479" s="1086"/>
      <c r="AC479" s="996">
        <f>AC478/AC477</f>
        <v>0.21875</v>
      </c>
    </row>
    <row r="480" spans="1:29" hidden="1" outlineLevel="1">
      <c r="A480" s="971" t="s">
        <v>5</v>
      </c>
      <c r="B480" s="1045">
        <f>'Gruppe B'!BY24</f>
        <v>8</v>
      </c>
      <c r="C480" s="1088">
        <f>'Gruppe B'!E152</f>
        <v>3.5</v>
      </c>
      <c r="D480" s="1047">
        <f>'Gruppe B'!R152</f>
        <v>1.5</v>
      </c>
      <c r="E480" s="1050">
        <f>'Gruppe B'!BY47</f>
        <v>1.6666666666666667</v>
      </c>
      <c r="F480" s="1124">
        <f>'Gruppe B'!BE152</f>
        <v>0.75</v>
      </c>
      <c r="G480" s="1049">
        <f>'Gruppe B'!BY125</f>
        <v>5.333333333333333</v>
      </c>
      <c r="H480" s="1047">
        <f>'Gruppe B'!BY101</f>
        <v>2</v>
      </c>
      <c r="I480" s="1048">
        <f>'Gruppe B'!AR152</f>
        <v>6</v>
      </c>
      <c r="J480" s="1045">
        <f>'Gruppe B'!AE152</f>
        <v>7.333333333333333</v>
      </c>
      <c r="K480" s="1046">
        <f>'Gruppe B'!BY70</f>
        <v>3</v>
      </c>
      <c r="L480" s="1047"/>
      <c r="M480" s="1050"/>
      <c r="N480" s="1088">
        <f>'Spiel 7 - Viertelfinal'!K111</f>
        <v>7</v>
      </c>
      <c r="O480" s="1088">
        <f>'Spiel 7 - Viertelfinal'!Q111</f>
        <v>9</v>
      </c>
      <c r="P480" s="1088"/>
      <c r="Q480" s="1088"/>
      <c r="R480" s="1088"/>
      <c r="S480" s="1088">
        <f>'Spiel 9 - Final'!D121</f>
        <v>5</v>
      </c>
      <c r="T480" s="1088">
        <f>'Spiel 9 - Final'!X121</f>
        <v>6.5</v>
      </c>
      <c r="U480" s="1088"/>
      <c r="V480" s="1088"/>
      <c r="W480" s="1088"/>
      <c r="X480" s="1088"/>
      <c r="Y480" s="1088"/>
      <c r="Z480" s="1088"/>
      <c r="AA480" s="1088"/>
      <c r="AB480" s="1049"/>
      <c r="AC480" s="1002">
        <f>AC476/AC477</f>
        <v>4.625</v>
      </c>
    </row>
    <row r="481" spans="1:29" hidden="1" outlineLevel="1">
      <c r="A481" s="1003" t="s">
        <v>8</v>
      </c>
      <c r="B481" s="1053">
        <f>'Gruppe B'!BY25</f>
        <v>8</v>
      </c>
      <c r="C481" s="1091">
        <f>'Gruppe B'!E153</f>
        <v>3.5</v>
      </c>
      <c r="D481" s="1055">
        <f>'Gruppe B'!R153</f>
        <v>3</v>
      </c>
      <c r="E481" s="1058">
        <f>'Gruppe B'!BY48</f>
        <v>5</v>
      </c>
      <c r="F481" s="1091">
        <f>'Gruppe B'!BE153</f>
        <v>1.5</v>
      </c>
      <c r="G481" s="1057">
        <f>'Gruppe B'!BY126</f>
        <v>5.333333333333333</v>
      </c>
      <c r="H481" s="1055">
        <f>'Gruppe B'!BY102</f>
        <v>2</v>
      </c>
      <c r="I481" s="1056">
        <f>'Gruppe B'!AR153</f>
        <v>12</v>
      </c>
      <c r="J481" s="1053">
        <f>'Gruppe B'!AE153</f>
        <v>7.333333333333333</v>
      </c>
      <c r="K481" s="1054">
        <f>'Gruppe B'!BY71</f>
        <v>3</v>
      </c>
      <c r="L481" s="1055"/>
      <c r="M481" s="1058"/>
      <c r="N481" s="1091">
        <f>'Spiel 7 - Viertelfinal'!K112</f>
        <v>7</v>
      </c>
      <c r="O481" s="1091">
        <f>'Spiel 7 - Viertelfinal'!Q112</f>
        <v>9</v>
      </c>
      <c r="P481" s="1091"/>
      <c r="Q481" s="1091"/>
      <c r="R481" s="1091"/>
      <c r="S481" s="1091">
        <f>'Spiel 9 - Final'!D122</f>
        <v>10</v>
      </c>
      <c r="T481" s="1091">
        <f>'Spiel 9 - Final'!X122</f>
        <v>6.5</v>
      </c>
      <c r="U481" s="1091"/>
      <c r="V481" s="1091"/>
      <c r="W481" s="1091"/>
      <c r="X481" s="1091"/>
      <c r="Y481" s="1091"/>
      <c r="Z481" s="1091"/>
      <c r="AA481" s="1091"/>
      <c r="AB481" s="1057"/>
      <c r="AC481" s="1007">
        <f>AC476/(AC477-AC478)</f>
        <v>5.92</v>
      </c>
    </row>
    <row r="482" spans="1:29" ht="3" hidden="1" customHeight="1" outlineLevel="1">
      <c r="B482" s="582"/>
      <c r="C482" s="582"/>
      <c r="D482" s="582"/>
      <c r="E482" s="582"/>
      <c r="F482" s="582"/>
      <c r="G482" s="582"/>
      <c r="H482" s="582"/>
      <c r="I482" s="582"/>
      <c r="J482" s="582"/>
      <c r="K482" s="582"/>
      <c r="L482" s="582"/>
      <c r="M482" s="1025"/>
      <c r="N482" s="582"/>
      <c r="O482" s="582"/>
      <c r="P482" s="582"/>
      <c r="Q482" s="582"/>
      <c r="R482" s="582"/>
      <c r="S482" s="582"/>
      <c r="T482" s="582"/>
      <c r="U482" s="582"/>
      <c r="V482" s="582"/>
      <c r="W482" s="582"/>
      <c r="X482" s="582"/>
      <c r="Y482" s="582"/>
      <c r="Z482" s="582"/>
      <c r="AA482" s="582"/>
      <c r="AB482" s="582"/>
    </row>
    <row r="483" spans="1:29" hidden="1" outlineLevel="1">
      <c r="A483" s="1178" t="s">
        <v>167</v>
      </c>
      <c r="B483" s="1021"/>
      <c r="C483" s="1022"/>
      <c r="D483" s="1021"/>
      <c r="E483" s="1023"/>
      <c r="F483" s="1022"/>
      <c r="G483" s="1023"/>
      <c r="H483" s="1021"/>
      <c r="I483" s="1023"/>
      <c r="J483" s="1021"/>
      <c r="K483" s="1023"/>
      <c r="L483" s="1021"/>
      <c r="M483" s="1023"/>
      <c r="N483" s="1022"/>
      <c r="O483" s="1022"/>
      <c r="P483" s="1022"/>
      <c r="Q483" s="1022"/>
      <c r="R483" s="1022"/>
      <c r="S483" s="1022"/>
      <c r="T483" s="1022"/>
      <c r="U483" s="1022"/>
      <c r="V483" s="1022"/>
      <c r="W483" s="1022"/>
      <c r="X483" s="1022"/>
      <c r="Y483" s="1022"/>
      <c r="Z483" s="1022"/>
      <c r="AA483" s="1022"/>
      <c r="AB483" s="1023"/>
      <c r="AC483" s="1178"/>
    </row>
    <row r="484" spans="1:29" hidden="1" outlineLevel="1">
      <c r="A484" s="971" t="s">
        <v>3</v>
      </c>
      <c r="B484" s="1027">
        <f>'Gruppe B'!BZ20</f>
        <v>9</v>
      </c>
      <c r="C484" s="113">
        <f>'Gruppe B'!F148</f>
        <v>0</v>
      </c>
      <c r="D484" s="1028">
        <f>'Gruppe B'!S148</f>
        <v>6</v>
      </c>
      <c r="E484" s="1029">
        <f>'Gruppe B'!BZ43</f>
        <v>5</v>
      </c>
      <c r="F484" s="113">
        <f>'Gruppe B'!BF148</f>
        <v>9</v>
      </c>
      <c r="G484" s="1031">
        <f>'Gruppe B'!BZ121</f>
        <v>0</v>
      </c>
      <c r="H484" s="1027">
        <f>'Gruppe B'!BZ97</f>
        <v>7</v>
      </c>
      <c r="I484" s="1029">
        <f>'Gruppe B'!AS148</f>
        <v>14</v>
      </c>
      <c r="J484" s="1028">
        <f>'Gruppe B'!AF148</f>
        <v>6</v>
      </c>
      <c r="K484" s="1079">
        <f>'Gruppe B'!BZ66</f>
        <v>5</v>
      </c>
      <c r="L484" s="1027"/>
      <c r="M484" s="1031"/>
      <c r="N484" s="1079">
        <f>'Spiel 7 - Viertelfinal'!L107</f>
        <v>2</v>
      </c>
      <c r="O484" s="1079">
        <f>'Spiel 7 - Viertelfinal'!R107</f>
        <v>0</v>
      </c>
      <c r="P484" s="1079"/>
      <c r="Q484" s="1079"/>
      <c r="R484" s="1079"/>
      <c r="S484" s="1079">
        <f>'Spiel 9 - Final'!E117</f>
        <v>10</v>
      </c>
      <c r="T484" s="1079">
        <f>'Spiel 9 - Final'!Y117</f>
        <v>14</v>
      </c>
      <c r="U484" s="1079"/>
      <c r="V484" s="1079"/>
      <c r="W484" s="1079"/>
      <c r="X484" s="1079"/>
      <c r="Y484" s="1079"/>
      <c r="Z484" s="1079"/>
      <c r="AA484" s="1079"/>
      <c r="AB484" s="1030"/>
      <c r="AC484" s="979">
        <f>SUM(B484:AB484)</f>
        <v>87</v>
      </c>
    </row>
    <row r="485" spans="1:29" hidden="1" outlineLevel="1">
      <c r="A485" s="971" t="s">
        <v>4</v>
      </c>
      <c r="B485" s="1028">
        <f>'Gruppe B'!BZ21</f>
        <v>2</v>
      </c>
      <c r="C485" s="1079">
        <f>'Gruppe B'!F149</f>
        <v>2</v>
      </c>
      <c r="D485" s="1028">
        <f>'Gruppe B'!S149</f>
        <v>2</v>
      </c>
      <c r="E485" s="1031">
        <f>'Gruppe B'!BZ44</f>
        <v>2</v>
      </c>
      <c r="F485" s="1079">
        <f>'Gruppe B'!BF149</f>
        <v>4</v>
      </c>
      <c r="G485" s="1030">
        <f>'Gruppe B'!BZ122</f>
        <v>2</v>
      </c>
      <c r="H485" s="1028">
        <f>'Gruppe B'!BZ98</f>
        <v>1</v>
      </c>
      <c r="I485" s="1029">
        <f>'Gruppe B'!AS149</f>
        <v>2</v>
      </c>
      <c r="J485" s="1027">
        <f>'Gruppe B'!AF149</f>
        <v>3</v>
      </c>
      <c r="K485" s="113">
        <f>'Gruppe B'!BZ67</f>
        <v>2</v>
      </c>
      <c r="L485" s="1028"/>
      <c r="M485" s="1031"/>
      <c r="N485" s="1079">
        <f>'Spiel 7 - Viertelfinal'!L108</f>
        <v>1</v>
      </c>
      <c r="O485" s="1079">
        <f>'Spiel 7 - Viertelfinal'!R108</f>
        <v>1</v>
      </c>
      <c r="P485" s="1079"/>
      <c r="Q485" s="1079"/>
      <c r="R485" s="1079"/>
      <c r="S485" s="1079">
        <f>'Spiel 9 - Final'!E118</f>
        <v>2</v>
      </c>
      <c r="T485" s="1079">
        <f>'Spiel 9 - Final'!Y118</f>
        <v>2</v>
      </c>
      <c r="U485" s="1079"/>
      <c r="V485" s="1079"/>
      <c r="W485" s="1079"/>
      <c r="X485" s="1079"/>
      <c r="Y485" s="1079"/>
      <c r="Z485" s="1079"/>
      <c r="AA485" s="1079"/>
      <c r="AB485" s="1030"/>
      <c r="AC485" s="985">
        <f>SUM(B485:AB485)</f>
        <v>28</v>
      </c>
    </row>
    <row r="486" spans="1:29" hidden="1" outlineLevel="1">
      <c r="A486" s="971" t="s">
        <v>6</v>
      </c>
      <c r="B486" s="1028">
        <f>'Gruppe B'!BZ22</f>
        <v>1</v>
      </c>
      <c r="C486" s="113">
        <f>'Gruppe B'!F150</f>
        <v>2</v>
      </c>
      <c r="D486" s="972">
        <f>'Gruppe B'!S150</f>
        <v>0</v>
      </c>
      <c r="E486" s="973">
        <f>'Gruppe B'!BZ45</f>
        <v>0</v>
      </c>
      <c r="F486" s="1028">
        <f>'Gruppe B'!BF150</f>
        <v>2</v>
      </c>
      <c r="G486" s="113">
        <f>'Gruppe B'!BZ123</f>
        <v>2</v>
      </c>
      <c r="H486" s="972">
        <f>'Gruppe B'!BZ99</f>
        <v>0</v>
      </c>
      <c r="I486" s="973">
        <f>'Gruppe B'!AS150</f>
        <v>0</v>
      </c>
      <c r="J486" s="1028">
        <f>'Gruppe B'!AF150</f>
        <v>1</v>
      </c>
      <c r="K486" s="973">
        <f>'Gruppe B'!BZ68</f>
        <v>0</v>
      </c>
      <c r="L486" s="1028"/>
      <c r="M486" s="1031"/>
      <c r="N486" s="973">
        <f>'Spiel 7 - Viertelfinal'!L109</f>
        <v>0</v>
      </c>
      <c r="O486" s="1079">
        <f>'Spiel 7 - Viertelfinal'!R109</f>
        <v>1</v>
      </c>
      <c r="P486" s="1079"/>
      <c r="Q486" s="1079"/>
      <c r="R486" s="1079"/>
      <c r="S486" s="973">
        <f>'Spiel 9 - Final'!E119</f>
        <v>0</v>
      </c>
      <c r="T486" s="973">
        <f>'Spiel 9 - Final'!Y119</f>
        <v>0</v>
      </c>
      <c r="U486" s="1079"/>
      <c r="V486" s="1079"/>
      <c r="W486" s="1079"/>
      <c r="X486" s="1079"/>
      <c r="Y486" s="1079"/>
      <c r="Z486" s="1079"/>
      <c r="AA486" s="1079"/>
      <c r="AB486" s="1030"/>
      <c r="AC486" s="987">
        <f>SUM(B486:AB486)</f>
        <v>9</v>
      </c>
    </row>
    <row r="487" spans="1:29" hidden="1" outlineLevel="1">
      <c r="A487" s="971" t="s">
        <v>12</v>
      </c>
      <c r="B487" s="1039">
        <f>'Gruppe B'!BZ23</f>
        <v>0.5</v>
      </c>
      <c r="C487" s="1084">
        <f>'Gruppe B'!F151</f>
        <v>1</v>
      </c>
      <c r="D487" s="1043">
        <f>'Gruppe B'!S151</f>
        <v>0</v>
      </c>
      <c r="E487" s="989">
        <f>'Gruppe B'!BZ46</f>
        <v>0</v>
      </c>
      <c r="F487" s="1083">
        <f>'Gruppe B'!BF151</f>
        <v>0.5</v>
      </c>
      <c r="G487" s="1084">
        <f>'Gruppe B'!BZ124</f>
        <v>1</v>
      </c>
      <c r="H487" s="1043">
        <f>'Gruppe B'!BZ100</f>
        <v>0</v>
      </c>
      <c r="I487" s="989">
        <f>'Gruppe B'!AS151</f>
        <v>0</v>
      </c>
      <c r="J487" s="1083">
        <f>'Gruppe B'!AF151</f>
        <v>0.33333333333333331</v>
      </c>
      <c r="K487" s="989">
        <f>'Gruppe B'!BZ69</f>
        <v>0</v>
      </c>
      <c r="L487" s="1083"/>
      <c r="M487" s="1085"/>
      <c r="N487" s="989">
        <f>'Spiel 7 - Viertelfinal'!L110</f>
        <v>0</v>
      </c>
      <c r="O487" s="1084">
        <f>'Spiel 7 - Viertelfinal'!R110</f>
        <v>1</v>
      </c>
      <c r="P487" s="1084"/>
      <c r="Q487" s="1084"/>
      <c r="R487" s="1084"/>
      <c r="S487" s="989">
        <f>'Spiel 9 - Final'!E120</f>
        <v>0</v>
      </c>
      <c r="T487" s="989">
        <f>'Spiel 9 - Final'!Y120</f>
        <v>0</v>
      </c>
      <c r="U487" s="1084"/>
      <c r="V487" s="1084"/>
      <c r="W487" s="1084"/>
      <c r="X487" s="1084"/>
      <c r="Y487" s="1084"/>
      <c r="Z487" s="1084"/>
      <c r="AA487" s="1084"/>
      <c r="AB487" s="1086"/>
      <c r="AC487" s="996">
        <f>AC486/AC485</f>
        <v>0.32142857142857145</v>
      </c>
    </row>
    <row r="488" spans="1:29" hidden="1" outlineLevel="1">
      <c r="A488" s="971" t="s">
        <v>5</v>
      </c>
      <c r="B488" s="1045">
        <f>'Gruppe B'!BZ24</f>
        <v>4.5</v>
      </c>
      <c r="C488" s="1088">
        <f>'Gruppe B'!F152</f>
        <v>0</v>
      </c>
      <c r="D488" s="1047">
        <f>'Gruppe B'!S152</f>
        <v>3</v>
      </c>
      <c r="E488" s="1050">
        <f>'Gruppe B'!BZ47</f>
        <v>2.5</v>
      </c>
      <c r="F488" s="1124">
        <f>'Gruppe B'!BF152</f>
        <v>2.25</v>
      </c>
      <c r="G488" s="1049">
        <f>'Gruppe B'!BZ125</f>
        <v>0</v>
      </c>
      <c r="H488" s="1047">
        <f>'Gruppe B'!BZ101</f>
        <v>7</v>
      </c>
      <c r="I488" s="1048">
        <f>'Gruppe B'!AS152</f>
        <v>7</v>
      </c>
      <c r="J488" s="1045">
        <f>'Gruppe B'!AF152</f>
        <v>2</v>
      </c>
      <c r="K488" s="1046">
        <f>'Gruppe B'!BZ70</f>
        <v>2.5</v>
      </c>
      <c r="L488" s="1047"/>
      <c r="M488" s="1050"/>
      <c r="N488" s="1088">
        <f>'Spiel 7 - Viertelfinal'!L111</f>
        <v>2</v>
      </c>
      <c r="O488" s="1088">
        <f>'Spiel 7 - Viertelfinal'!R111</f>
        <v>0</v>
      </c>
      <c r="P488" s="1088"/>
      <c r="Q488" s="1088"/>
      <c r="R488" s="1088"/>
      <c r="S488" s="1088">
        <f>'Spiel 9 - Final'!E121</f>
        <v>5</v>
      </c>
      <c r="T488" s="1088">
        <f>'Spiel 9 - Final'!Y121</f>
        <v>7</v>
      </c>
      <c r="U488" s="1088"/>
      <c r="V488" s="1088"/>
      <c r="W488" s="1088"/>
      <c r="X488" s="1088"/>
      <c r="Y488" s="1088"/>
      <c r="Z488" s="1088"/>
      <c r="AA488" s="1088"/>
      <c r="AB488" s="1049"/>
      <c r="AC488" s="1002">
        <f>AC484/AC485</f>
        <v>3.1071428571428572</v>
      </c>
    </row>
    <row r="489" spans="1:29" hidden="1" outlineLevel="1">
      <c r="A489" s="1003" t="s">
        <v>8</v>
      </c>
      <c r="B489" s="1053">
        <f>'Gruppe B'!BZ25</f>
        <v>9</v>
      </c>
      <c r="C489" s="1091">
        <f>'Gruppe B'!F153</f>
        <v>0</v>
      </c>
      <c r="D489" s="1055">
        <f>'Gruppe B'!S153</f>
        <v>3</v>
      </c>
      <c r="E489" s="1058">
        <f>'Gruppe B'!BZ48</f>
        <v>2.5</v>
      </c>
      <c r="F489" s="1091">
        <f>'Gruppe B'!BF153</f>
        <v>4.5</v>
      </c>
      <c r="G489" s="1057">
        <f>'Gruppe B'!BZ126</f>
        <v>0</v>
      </c>
      <c r="H489" s="1055">
        <f>'Gruppe B'!BZ102</f>
        <v>7</v>
      </c>
      <c r="I489" s="1056">
        <f>'Gruppe B'!AS153</f>
        <v>7</v>
      </c>
      <c r="J489" s="1053">
        <f>'Gruppe B'!AF153</f>
        <v>3</v>
      </c>
      <c r="K489" s="1054">
        <f>'Gruppe B'!BZ71</f>
        <v>0</v>
      </c>
      <c r="L489" s="1055"/>
      <c r="M489" s="1058"/>
      <c r="N489" s="1091">
        <f>'Spiel 7 - Viertelfinal'!L112</f>
        <v>2</v>
      </c>
      <c r="O489" s="1091">
        <f>'Spiel 7 - Viertelfinal'!R112</f>
        <v>0</v>
      </c>
      <c r="P489" s="1091"/>
      <c r="Q489" s="1091"/>
      <c r="R489" s="1091"/>
      <c r="S489" s="1091">
        <f>'Spiel 9 - Final'!E122</f>
        <v>5</v>
      </c>
      <c r="T489" s="1091">
        <f>'Spiel 9 - Final'!Y122</f>
        <v>7</v>
      </c>
      <c r="U489" s="1091"/>
      <c r="V489" s="1091"/>
      <c r="W489" s="1091"/>
      <c r="X489" s="1091"/>
      <c r="Y489" s="1091"/>
      <c r="Z489" s="1091"/>
      <c r="AA489" s="1091"/>
      <c r="AB489" s="1057"/>
      <c r="AC489" s="1007">
        <f>AC484/(AC485-AC486)</f>
        <v>4.5789473684210522</v>
      </c>
    </row>
    <row r="490" spans="1:29" ht="3" hidden="1" customHeight="1" outlineLevel="1">
      <c r="M490" s="1129"/>
    </row>
    <row r="491" spans="1:29" collapsed="1">
      <c r="A491" s="1178" t="s">
        <v>105</v>
      </c>
      <c r="B491" s="1147"/>
      <c r="C491" s="1146"/>
      <c r="D491" s="1147"/>
      <c r="E491" s="1149"/>
      <c r="F491" s="1146"/>
      <c r="G491" s="1149"/>
      <c r="H491" s="1147"/>
      <c r="I491" s="1149"/>
      <c r="J491" s="1147"/>
      <c r="K491" s="1149"/>
      <c r="L491" s="1147"/>
      <c r="M491" s="1149"/>
      <c r="N491" s="1146"/>
      <c r="O491" s="1146"/>
      <c r="P491" s="1146"/>
      <c r="Q491" s="1146"/>
      <c r="R491" s="1146"/>
      <c r="S491" s="1146"/>
      <c r="T491" s="1146"/>
      <c r="U491" s="1146"/>
      <c r="V491" s="1146"/>
      <c r="W491" s="1146"/>
      <c r="X491" s="1146"/>
      <c r="Y491" s="1146"/>
      <c r="Z491" s="1146"/>
      <c r="AA491" s="1146"/>
      <c r="AB491" s="1149"/>
      <c r="AC491" s="1178"/>
    </row>
    <row r="492" spans="1:29">
      <c r="A492" s="971" t="s">
        <v>3</v>
      </c>
      <c r="B492" s="982">
        <f>B500+B508+B516+B524</f>
        <v>34</v>
      </c>
      <c r="C492" s="1105">
        <f t="shared" ref="C492:K492" si="163">C500+C508+C516+C524</f>
        <v>42</v>
      </c>
      <c r="D492" s="980">
        <f t="shared" si="163"/>
        <v>38</v>
      </c>
      <c r="E492" s="978">
        <f t="shared" si="163"/>
        <v>50</v>
      </c>
      <c r="F492" s="1105">
        <f t="shared" si="163"/>
        <v>15</v>
      </c>
      <c r="G492" s="983">
        <f t="shared" si="163"/>
        <v>48</v>
      </c>
      <c r="H492" s="982">
        <f t="shared" si="163"/>
        <v>23</v>
      </c>
      <c r="I492" s="1104">
        <f t="shared" si="163"/>
        <v>15</v>
      </c>
      <c r="J492" s="980">
        <f t="shared" si="163"/>
        <v>50</v>
      </c>
      <c r="K492" s="981">
        <f t="shared" si="163"/>
        <v>34</v>
      </c>
      <c r="L492" s="980">
        <f t="shared" ref="L492:M492" si="164">L500+L508+L516+L524</f>
        <v>39</v>
      </c>
      <c r="M492" s="983">
        <f t="shared" si="164"/>
        <v>37</v>
      </c>
      <c r="N492" s="981">
        <f t="shared" ref="N492:T492" si="165">N500+N508+N516+N524</f>
        <v>37</v>
      </c>
      <c r="O492" s="981">
        <f t="shared" si="165"/>
        <v>43</v>
      </c>
      <c r="P492" s="981"/>
      <c r="Q492" s="981"/>
      <c r="R492" s="981"/>
      <c r="S492" s="981">
        <f t="shared" si="165"/>
        <v>46</v>
      </c>
      <c r="T492" s="981">
        <f t="shared" si="165"/>
        <v>39</v>
      </c>
      <c r="U492" s="981"/>
      <c r="V492" s="981"/>
      <c r="W492" s="981"/>
      <c r="X492" s="981"/>
      <c r="Y492" s="981"/>
      <c r="Z492" s="981"/>
      <c r="AA492" s="981"/>
      <c r="AB492" s="984"/>
      <c r="AC492" s="979">
        <f>SUM(B492:AB492)</f>
        <v>590</v>
      </c>
    </row>
    <row r="493" spans="1:29">
      <c r="A493" s="971" t="s">
        <v>4</v>
      </c>
      <c r="B493" s="980">
        <f t="shared" ref="B493:K493" si="166">B501+B509+B517+B525</f>
        <v>9</v>
      </c>
      <c r="C493" s="981">
        <f t="shared" si="166"/>
        <v>10</v>
      </c>
      <c r="D493" s="980">
        <f t="shared" si="166"/>
        <v>9</v>
      </c>
      <c r="E493" s="983">
        <f t="shared" si="166"/>
        <v>9</v>
      </c>
      <c r="F493" s="981">
        <f t="shared" si="166"/>
        <v>5</v>
      </c>
      <c r="G493" s="984">
        <f t="shared" si="166"/>
        <v>9</v>
      </c>
      <c r="H493" s="980">
        <f t="shared" si="166"/>
        <v>7</v>
      </c>
      <c r="I493" s="1104">
        <f t="shared" si="166"/>
        <v>5</v>
      </c>
      <c r="J493" s="982">
        <f t="shared" si="166"/>
        <v>10</v>
      </c>
      <c r="K493" s="1105">
        <f t="shared" si="166"/>
        <v>12</v>
      </c>
      <c r="L493" s="982">
        <f t="shared" ref="L493:M493" si="167">L501+L509+L517+L525</f>
        <v>7</v>
      </c>
      <c r="M493" s="1104">
        <f t="shared" si="167"/>
        <v>7</v>
      </c>
      <c r="N493" s="981">
        <f t="shared" ref="N493:T493" si="168">N501+N509+N517+N525</f>
        <v>6</v>
      </c>
      <c r="O493" s="981">
        <f t="shared" si="168"/>
        <v>11</v>
      </c>
      <c r="P493" s="981"/>
      <c r="Q493" s="981"/>
      <c r="R493" s="981"/>
      <c r="S493" s="981">
        <f t="shared" si="168"/>
        <v>9</v>
      </c>
      <c r="T493" s="981">
        <f t="shared" si="168"/>
        <v>10</v>
      </c>
      <c r="U493" s="981"/>
      <c r="V493" s="981"/>
      <c r="W493" s="981"/>
      <c r="X493" s="981"/>
      <c r="Y493" s="981"/>
      <c r="Z493" s="981"/>
      <c r="AA493" s="981"/>
      <c r="AB493" s="984"/>
      <c r="AC493" s="985">
        <f>SUM(B493:AB493)</f>
        <v>135</v>
      </c>
    </row>
    <row r="494" spans="1:29">
      <c r="A494" s="971" t="s">
        <v>6</v>
      </c>
      <c r="B494" s="980">
        <f t="shared" ref="B494:K494" si="169">B502+B510+B518+B526</f>
        <v>2</v>
      </c>
      <c r="C494" s="986">
        <f t="shared" si="169"/>
        <v>3</v>
      </c>
      <c r="D494" s="980">
        <f t="shared" si="169"/>
        <v>3</v>
      </c>
      <c r="E494" s="984">
        <f t="shared" si="169"/>
        <v>1</v>
      </c>
      <c r="F494" s="981">
        <f t="shared" si="169"/>
        <v>2</v>
      </c>
      <c r="G494" s="973">
        <f t="shared" si="169"/>
        <v>0</v>
      </c>
      <c r="H494" s="980">
        <f t="shared" si="169"/>
        <v>2</v>
      </c>
      <c r="I494" s="986">
        <f t="shared" si="169"/>
        <v>1</v>
      </c>
      <c r="J494" s="980">
        <f t="shared" si="169"/>
        <v>4</v>
      </c>
      <c r="K494" s="986">
        <f t="shared" si="169"/>
        <v>3</v>
      </c>
      <c r="L494" s="980">
        <f t="shared" ref="L494:M494" si="170">L502+L510+L518+L526</f>
        <v>1</v>
      </c>
      <c r="M494" s="984">
        <f t="shared" si="170"/>
        <v>1</v>
      </c>
      <c r="N494" s="973">
        <f t="shared" ref="N494:T494" si="171">N502+N510+N518+N526</f>
        <v>0</v>
      </c>
      <c r="O494" s="1105">
        <f t="shared" si="171"/>
        <v>4</v>
      </c>
      <c r="P494" s="113"/>
      <c r="Q494" s="113"/>
      <c r="R494" s="113"/>
      <c r="S494" s="1105">
        <f t="shared" si="171"/>
        <v>1</v>
      </c>
      <c r="T494" s="1105">
        <f t="shared" si="171"/>
        <v>2</v>
      </c>
      <c r="U494" s="113"/>
      <c r="V494" s="113"/>
      <c r="W494" s="113"/>
      <c r="X494" s="113"/>
      <c r="Y494" s="113"/>
      <c r="Z494" s="113"/>
      <c r="AA494" s="113"/>
      <c r="AB494" s="984"/>
      <c r="AC494" s="987">
        <f>SUM(B494:AB494)</f>
        <v>30</v>
      </c>
    </row>
    <row r="495" spans="1:29">
      <c r="A495" s="971" t="s">
        <v>12</v>
      </c>
      <c r="B495" s="988">
        <f>B494/B493</f>
        <v>0.22222222222222221</v>
      </c>
      <c r="C495" s="990">
        <f t="shared" ref="C495:K495" si="172">C494/C493</f>
        <v>0.3</v>
      </c>
      <c r="D495" s="993">
        <f t="shared" si="172"/>
        <v>0.33333333333333331</v>
      </c>
      <c r="E495" s="995">
        <f t="shared" si="172"/>
        <v>0.1111111111111111</v>
      </c>
      <c r="F495" s="1151">
        <f t="shared" si="172"/>
        <v>0.4</v>
      </c>
      <c r="G495" s="989">
        <f t="shared" si="172"/>
        <v>0</v>
      </c>
      <c r="H495" s="988">
        <f t="shared" si="172"/>
        <v>0.2857142857142857</v>
      </c>
      <c r="I495" s="990">
        <f t="shared" si="172"/>
        <v>0.2</v>
      </c>
      <c r="J495" s="988">
        <f t="shared" si="172"/>
        <v>0.4</v>
      </c>
      <c r="K495" s="990">
        <f t="shared" si="172"/>
        <v>0.25</v>
      </c>
      <c r="L495" s="988">
        <f t="shared" ref="L495:M495" si="173">L494/L493</f>
        <v>0.14285714285714285</v>
      </c>
      <c r="M495" s="995">
        <f t="shared" si="173"/>
        <v>0.14285714285714285</v>
      </c>
      <c r="N495" s="989">
        <f t="shared" ref="N495:T495" si="174">N494/N493</f>
        <v>0</v>
      </c>
      <c r="O495" s="992">
        <f t="shared" si="174"/>
        <v>0.36363636363636365</v>
      </c>
      <c r="P495" s="1084"/>
      <c r="Q495" s="1084"/>
      <c r="R495" s="1084"/>
      <c r="S495" s="992">
        <f t="shared" si="174"/>
        <v>0.1111111111111111</v>
      </c>
      <c r="T495" s="992">
        <f t="shared" si="174"/>
        <v>0.2</v>
      </c>
      <c r="U495" s="1084"/>
      <c r="V495" s="1084"/>
      <c r="W495" s="1084"/>
      <c r="X495" s="1084"/>
      <c r="Y495" s="1084"/>
      <c r="Z495" s="1084"/>
      <c r="AA495" s="1084"/>
      <c r="AB495" s="995"/>
      <c r="AC495" s="996">
        <f>AC494/AC493</f>
        <v>0.22222222222222221</v>
      </c>
    </row>
    <row r="496" spans="1:29">
      <c r="A496" s="971" t="s">
        <v>5</v>
      </c>
      <c r="B496" s="997">
        <f t="shared" ref="B496:G496" si="175">(B504+B512+B520+B528)/4</f>
        <v>3.708333333333333</v>
      </c>
      <c r="C496" s="998">
        <f t="shared" si="175"/>
        <v>3.916666666666667</v>
      </c>
      <c r="D496" s="999">
        <f t="shared" si="175"/>
        <v>4.2916666666666661</v>
      </c>
      <c r="E496" s="1000">
        <f t="shared" si="175"/>
        <v>5.583333333333333</v>
      </c>
      <c r="F496" s="1106">
        <f t="shared" si="175"/>
        <v>3.125</v>
      </c>
      <c r="G496" s="1001">
        <f t="shared" si="175"/>
        <v>5.041666666666667</v>
      </c>
      <c r="H496" s="999">
        <f>(H504+H512+H520+H528)/4</f>
        <v>3.125</v>
      </c>
      <c r="I496" s="1107">
        <f t="shared" ref="I496:K496" si="176">(I504+I512+I520+I528)/4</f>
        <v>2.75</v>
      </c>
      <c r="J496" s="997">
        <f t="shared" si="176"/>
        <v>4.916666666666667</v>
      </c>
      <c r="K496" s="1108">
        <f t="shared" si="176"/>
        <v>2.8333333333333335</v>
      </c>
      <c r="L496" s="997">
        <f t="shared" ref="L496:M496" si="177">(L504+L512+L520+L528)/4</f>
        <v>5.125</v>
      </c>
      <c r="M496" s="1107">
        <f t="shared" si="177"/>
        <v>5.625</v>
      </c>
      <c r="N496" s="998">
        <f t="shared" ref="N496:T496" si="178">(N504+N512+N520+N528)/4</f>
        <v>5.625</v>
      </c>
      <c r="O496" s="998">
        <f t="shared" si="178"/>
        <v>4.125</v>
      </c>
      <c r="P496" s="998"/>
      <c r="Q496" s="998"/>
      <c r="R496" s="998"/>
      <c r="S496" s="998">
        <f t="shared" si="178"/>
        <v>4.916666666666667</v>
      </c>
      <c r="T496" s="998">
        <f t="shared" si="178"/>
        <v>3.708333333333333</v>
      </c>
      <c r="U496" s="998"/>
      <c r="V496" s="998"/>
      <c r="W496" s="998"/>
      <c r="X496" s="998"/>
      <c r="Y496" s="998"/>
      <c r="Z496" s="998"/>
      <c r="AA496" s="998"/>
      <c r="AB496" s="1001"/>
      <c r="AC496" s="1002">
        <f>AC492/AC493</f>
        <v>4.3703703703703702</v>
      </c>
    </row>
    <row r="497" spans="1:29">
      <c r="A497" s="1003" t="s">
        <v>8</v>
      </c>
      <c r="B497" s="1004">
        <f t="shared" ref="B497:G497" si="179">(B505+B513+B521+B529)/4</f>
        <v>3.708333333333333</v>
      </c>
      <c r="C497" s="1005">
        <f t="shared" si="179"/>
        <v>5.375</v>
      </c>
      <c r="D497" s="1109">
        <f t="shared" si="179"/>
        <v>6.5</v>
      </c>
      <c r="E497" s="1006">
        <f t="shared" si="179"/>
        <v>6.25</v>
      </c>
      <c r="F497" s="1005">
        <f t="shared" si="179"/>
        <v>3.75</v>
      </c>
      <c r="G497" s="1110">
        <f t="shared" si="179"/>
        <v>5.041666666666667</v>
      </c>
      <c r="H497" s="1109">
        <f>(H505+H513+H521+H529)/4</f>
        <v>4.375</v>
      </c>
      <c r="I497" s="1111">
        <f t="shared" ref="I497:K497" si="180">(I505+I513+I521+I529)/4</f>
        <v>3.75</v>
      </c>
      <c r="J497" s="1004">
        <f t="shared" si="180"/>
        <v>7.8333333333333339</v>
      </c>
      <c r="K497" s="1112">
        <f t="shared" si="180"/>
        <v>3.6666666666666665</v>
      </c>
      <c r="L497" s="1004">
        <f t="shared" ref="L497:M497" si="181">(L505+L513+L521+L529)/4</f>
        <v>6.625</v>
      </c>
      <c r="M497" s="1111">
        <f t="shared" si="181"/>
        <v>2.5</v>
      </c>
      <c r="N497" s="1005">
        <f t="shared" ref="N497:T497" si="182">(N505+N513+N521+N529)/4</f>
        <v>5.625</v>
      </c>
      <c r="O497" s="1005">
        <f t="shared" si="182"/>
        <v>5.958333333333333</v>
      </c>
      <c r="P497" s="1005"/>
      <c r="Q497" s="1005"/>
      <c r="R497" s="1005"/>
      <c r="S497" s="1005">
        <f t="shared" si="182"/>
        <v>5.791666666666667</v>
      </c>
      <c r="T497" s="1005">
        <f t="shared" si="182"/>
        <v>4.958333333333333</v>
      </c>
      <c r="U497" s="1005"/>
      <c r="V497" s="1005"/>
      <c r="W497" s="1005"/>
      <c r="X497" s="1005"/>
      <c r="Y497" s="1005"/>
      <c r="Z497" s="1005"/>
      <c r="AA497" s="1005"/>
      <c r="AB497" s="1110"/>
      <c r="AC497" s="1007">
        <f>AC492/(AC493-AC494)</f>
        <v>5.6190476190476186</v>
      </c>
    </row>
    <row r="498" spans="1:29" ht="3" customHeight="1">
      <c r="E498" s="582"/>
      <c r="F498" s="582"/>
      <c r="G498" s="582"/>
      <c r="H498" s="582"/>
      <c r="I498" s="582"/>
      <c r="J498" s="582"/>
      <c r="K498" s="582"/>
      <c r="L498" s="582"/>
      <c r="M498" s="1025"/>
      <c r="N498" s="582"/>
      <c r="O498" s="582"/>
      <c r="P498" s="582"/>
      <c r="Q498" s="582"/>
      <c r="R498" s="582"/>
      <c r="S498" s="582"/>
      <c r="T498" s="582"/>
      <c r="U498" s="582"/>
      <c r="V498" s="582"/>
      <c r="W498" s="582"/>
      <c r="X498" s="582"/>
      <c r="Y498" s="582"/>
      <c r="Z498" s="582"/>
      <c r="AA498" s="582"/>
    </row>
    <row r="499" spans="1:29" hidden="1" outlineLevel="1">
      <c r="A499" s="1178" t="s">
        <v>106</v>
      </c>
      <c r="B499" s="1147"/>
      <c r="C499" s="1146"/>
      <c r="D499" s="1147"/>
      <c r="E499" s="1149"/>
      <c r="F499" s="1146"/>
      <c r="G499" s="1149"/>
      <c r="H499" s="1147"/>
      <c r="I499" s="1149"/>
      <c r="J499" s="1147"/>
      <c r="K499" s="1149"/>
      <c r="L499" s="1147"/>
      <c r="M499" s="1149"/>
      <c r="N499" s="1146"/>
      <c r="O499" s="1146"/>
      <c r="P499" s="1146"/>
      <c r="Q499" s="1146"/>
      <c r="R499" s="1146"/>
      <c r="S499" s="1146"/>
      <c r="T499" s="1146"/>
      <c r="U499" s="1146"/>
      <c r="V499" s="1146"/>
      <c r="W499" s="1146"/>
      <c r="X499" s="1146"/>
      <c r="Y499" s="1146"/>
      <c r="Z499" s="1146"/>
      <c r="AA499" s="1146"/>
      <c r="AB499" s="1149"/>
      <c r="AC499" s="1178"/>
    </row>
    <row r="500" spans="1:29" hidden="1" outlineLevel="1">
      <c r="A500" s="971" t="s">
        <v>3</v>
      </c>
      <c r="B500" s="1027">
        <f>'Gruppe A'!BW60</f>
        <v>13</v>
      </c>
      <c r="C500" s="113">
        <f>'Gruppe A'!AE124</f>
        <v>6</v>
      </c>
      <c r="D500" s="1028">
        <f>'Gruppe A'!BC124</f>
        <v>11</v>
      </c>
      <c r="E500" s="1029">
        <f>'Gruppe A'!BW102</f>
        <v>16</v>
      </c>
      <c r="F500" s="113">
        <f>'Gruppe A'!BW14</f>
        <v>5</v>
      </c>
      <c r="G500" s="1031">
        <f>'Gruppe A'!C124</f>
        <v>23</v>
      </c>
      <c r="H500" s="1027">
        <f>'Gruppe A'!P124</f>
        <v>7</v>
      </c>
      <c r="I500" s="1029">
        <f>'Gruppe A'!BW35</f>
        <v>8</v>
      </c>
      <c r="J500" s="1028">
        <f>'Gruppe A'!CC124</f>
        <v>4</v>
      </c>
      <c r="K500" s="1079">
        <f>'Gruppe A'!BW148</f>
        <v>2</v>
      </c>
      <c r="L500" s="1027">
        <f>'Gruppe A'!AP124</f>
        <v>12</v>
      </c>
      <c r="M500" s="1031">
        <f>'Gruppe A'!BW79</f>
        <v>10</v>
      </c>
      <c r="N500" s="1079">
        <f>'Spiel 7 - Viertelfinal'!I129</f>
        <v>17</v>
      </c>
      <c r="O500" s="1079">
        <f>'Spiel 7 - Viertelfinal'!O129</f>
        <v>2</v>
      </c>
      <c r="P500" s="1079"/>
      <c r="Q500" s="1079"/>
      <c r="R500" s="1079"/>
      <c r="S500" s="1079">
        <f>'Spiel 9 - Final'!I117</f>
        <v>20</v>
      </c>
      <c r="T500" s="1079">
        <f>'Spiel 9 - Final'!O117</f>
        <v>15</v>
      </c>
      <c r="U500" s="1079"/>
      <c r="V500" s="1079"/>
      <c r="W500" s="1079"/>
      <c r="X500" s="1079"/>
      <c r="Y500" s="1079"/>
      <c r="Z500" s="1079"/>
      <c r="AA500" s="1079"/>
      <c r="AB500" s="1030"/>
      <c r="AC500" s="979">
        <f>SUM(B500:AB500)</f>
        <v>171</v>
      </c>
    </row>
    <row r="501" spans="1:29" hidden="1" outlineLevel="1">
      <c r="A501" s="971" t="s">
        <v>4</v>
      </c>
      <c r="B501" s="1028">
        <f>'Gruppe A'!BW61</f>
        <v>3</v>
      </c>
      <c r="C501" s="1079">
        <f>'Gruppe A'!AE125</f>
        <v>2</v>
      </c>
      <c r="D501" s="1028">
        <f>'Gruppe A'!BC125</f>
        <v>3</v>
      </c>
      <c r="E501" s="1031">
        <f>'Gruppe A'!BW103</f>
        <v>3</v>
      </c>
      <c r="F501" s="1079">
        <f>'Gruppe A'!BW15</f>
        <v>2</v>
      </c>
      <c r="G501" s="1030">
        <f>'Gruppe A'!C125</f>
        <v>3</v>
      </c>
      <c r="H501" s="1028">
        <f>'Gruppe A'!P125</f>
        <v>2</v>
      </c>
      <c r="I501" s="1029">
        <f>'Gruppe A'!BW36</f>
        <v>2</v>
      </c>
      <c r="J501" s="1027">
        <f>'Gruppe A'!CC125</f>
        <v>3</v>
      </c>
      <c r="K501" s="113">
        <f>'Gruppe A'!BW149</f>
        <v>3</v>
      </c>
      <c r="L501" s="1028">
        <f>'Gruppe A'!AP125</f>
        <v>2</v>
      </c>
      <c r="M501" s="1031">
        <f>'Gruppe A'!BW80</f>
        <v>2</v>
      </c>
      <c r="N501" s="1079">
        <f>'Spiel 7 - Viertelfinal'!I130</f>
        <v>2</v>
      </c>
      <c r="O501" s="1079">
        <f>'Spiel 7 - Viertelfinal'!O130</f>
        <v>3</v>
      </c>
      <c r="P501" s="1079"/>
      <c r="Q501" s="1079"/>
      <c r="R501" s="1079"/>
      <c r="S501" s="1079">
        <f>'Spiel 9 - Final'!I118</f>
        <v>3</v>
      </c>
      <c r="T501" s="1079">
        <f>'Spiel 9 - Final'!O118</f>
        <v>3</v>
      </c>
      <c r="U501" s="1079"/>
      <c r="V501" s="1079"/>
      <c r="W501" s="1079"/>
      <c r="X501" s="1079"/>
      <c r="Y501" s="1079"/>
      <c r="Z501" s="1079"/>
      <c r="AA501" s="1079"/>
      <c r="AB501" s="1030"/>
      <c r="AC501" s="985">
        <f>SUM(B501:AB501)</f>
        <v>41</v>
      </c>
    </row>
    <row r="502" spans="1:29" hidden="1" outlineLevel="1">
      <c r="A502" s="971" t="s">
        <v>6</v>
      </c>
      <c r="B502" s="972">
        <f>'Gruppe A'!BW62</f>
        <v>0</v>
      </c>
      <c r="C502" s="115">
        <f>'Gruppe A'!AE126</f>
        <v>1</v>
      </c>
      <c r="D502" s="1028">
        <f>'Gruppe A'!BC126</f>
        <v>1</v>
      </c>
      <c r="E502" s="1029">
        <f>'Gruppe A'!BW104</f>
        <v>1</v>
      </c>
      <c r="F502" s="113">
        <f>'Gruppe A'!BW16</f>
        <v>1</v>
      </c>
      <c r="G502" s="973">
        <f>'Gruppe A'!C126</f>
        <v>0</v>
      </c>
      <c r="H502" s="1028">
        <f>'Gruppe A'!P126</f>
        <v>1</v>
      </c>
      <c r="I502" s="115">
        <f>'Gruppe A'!BW37</f>
        <v>1</v>
      </c>
      <c r="J502" s="1028">
        <f>'Gruppe A'!CC126</f>
        <v>2</v>
      </c>
      <c r="K502" s="113">
        <f>'Gruppe A'!BW150</f>
        <v>2</v>
      </c>
      <c r="L502" s="972">
        <f>'Gruppe A'!AP126</f>
        <v>0</v>
      </c>
      <c r="M502" s="1029">
        <f>'Gruppe A'!BW81</f>
        <v>1</v>
      </c>
      <c r="N502" s="973">
        <f>'Spiel 7 - Viertelfinal'!I131</f>
        <v>0</v>
      </c>
      <c r="O502" s="113">
        <f>'Spiel 7 - Viertelfinal'!O131</f>
        <v>2</v>
      </c>
      <c r="P502" s="113"/>
      <c r="Q502" s="113"/>
      <c r="R502" s="113"/>
      <c r="S502" s="973">
        <f>'Spiel 9 - Final'!I119</f>
        <v>0</v>
      </c>
      <c r="T502" s="113">
        <f>'Spiel 9 - Final'!O119</f>
        <v>1</v>
      </c>
      <c r="U502" s="113"/>
      <c r="V502" s="113"/>
      <c r="W502" s="113"/>
      <c r="X502" s="113"/>
      <c r="Y502" s="113"/>
      <c r="Z502" s="113"/>
      <c r="AA502" s="113"/>
      <c r="AB502" s="1030"/>
      <c r="AC502" s="987">
        <f>SUM(B502:AB502)</f>
        <v>14</v>
      </c>
    </row>
    <row r="503" spans="1:29" hidden="1" outlineLevel="1">
      <c r="A503" s="971" t="s">
        <v>12</v>
      </c>
      <c r="B503" s="1043">
        <f>'Gruppe A'!BW63</f>
        <v>0</v>
      </c>
      <c r="C503" s="1082">
        <f>'Gruppe A'!AE127</f>
        <v>0.5</v>
      </c>
      <c r="D503" s="1083">
        <f>'Gruppe A'!BC127</f>
        <v>0.33333333333333331</v>
      </c>
      <c r="E503" s="1085">
        <f>'Gruppe A'!BW105</f>
        <v>0.33333333333333331</v>
      </c>
      <c r="F503" s="113">
        <f>'Gruppe A'!BW17</f>
        <v>0.5</v>
      </c>
      <c r="G503" s="989">
        <f>'Gruppe A'!C127</f>
        <v>0</v>
      </c>
      <c r="H503" s="1039">
        <f>'Gruppe A'!P127</f>
        <v>0.5</v>
      </c>
      <c r="I503" s="1082">
        <f>'Gruppe A'!BW38</f>
        <v>0.5</v>
      </c>
      <c r="J503" s="1039">
        <f>'Gruppe A'!CC127</f>
        <v>0.66666666666666663</v>
      </c>
      <c r="K503" s="1084">
        <f>'Gruppe A'!BW151</f>
        <v>0.66666666666666663</v>
      </c>
      <c r="L503" s="1043">
        <f>'Gruppe A'!AP127</f>
        <v>0</v>
      </c>
      <c r="M503" s="1085">
        <f>'Gruppe A'!BW82</f>
        <v>0.5</v>
      </c>
      <c r="N503" s="989">
        <f>'Spiel 7 - Viertelfinal'!I132</f>
        <v>0</v>
      </c>
      <c r="O503" s="1084">
        <f>'Spiel 7 - Viertelfinal'!O132</f>
        <v>0.66666666666666663</v>
      </c>
      <c r="P503" s="1084"/>
      <c r="Q503" s="1084"/>
      <c r="R503" s="1084"/>
      <c r="S503" s="989">
        <f>'Spiel 9 - Final'!I120</f>
        <v>0</v>
      </c>
      <c r="T503" s="1084">
        <f>'Spiel 9 - Final'!O120</f>
        <v>0.33333333333333331</v>
      </c>
      <c r="U503" s="1084"/>
      <c r="V503" s="1084"/>
      <c r="W503" s="1084"/>
      <c r="X503" s="1084"/>
      <c r="Y503" s="1084"/>
      <c r="Z503" s="1084"/>
      <c r="AA503" s="1084"/>
      <c r="AB503" s="1086"/>
      <c r="AC503" s="996">
        <f>AC502/AC501</f>
        <v>0.34146341463414637</v>
      </c>
    </row>
    <row r="504" spans="1:29" hidden="1" outlineLevel="1">
      <c r="A504" s="971" t="s">
        <v>5</v>
      </c>
      <c r="B504" s="1045">
        <f>'Gruppe A'!BW64</f>
        <v>4.333333333333333</v>
      </c>
      <c r="C504" s="1088">
        <f>'Gruppe A'!AE128</f>
        <v>3</v>
      </c>
      <c r="D504" s="1047">
        <f>'Gruppe A'!BC128</f>
        <v>3.6666666666666665</v>
      </c>
      <c r="E504" s="1050">
        <f>'Gruppe A'!BW106</f>
        <v>5.333333333333333</v>
      </c>
      <c r="F504" s="1124">
        <f>'Gruppe A'!BW18</f>
        <v>2.5</v>
      </c>
      <c r="G504" s="1049">
        <f>'Gruppe A'!C128</f>
        <v>7.666666666666667</v>
      </c>
      <c r="H504" s="1047">
        <f>'Gruppe A'!P128</f>
        <v>3.5</v>
      </c>
      <c r="I504" s="1048">
        <f>'Gruppe A'!BW39</f>
        <v>4</v>
      </c>
      <c r="J504" s="1045">
        <f>'Gruppe A'!CC128</f>
        <v>1.3333333333333333</v>
      </c>
      <c r="K504" s="1046">
        <f>'Gruppe A'!BW152</f>
        <v>0.66666666666666663</v>
      </c>
      <c r="L504" s="1047">
        <f>'Gruppe A'!AP128</f>
        <v>6</v>
      </c>
      <c r="M504" s="1050">
        <f>'Gruppe A'!BW83</f>
        <v>5</v>
      </c>
      <c r="N504" s="1088">
        <f>'Spiel 7 - Viertelfinal'!I133</f>
        <v>8.5</v>
      </c>
      <c r="O504" s="1088">
        <f>'Spiel 7 - Viertelfinal'!O133</f>
        <v>0.66666666666666663</v>
      </c>
      <c r="P504" s="1088"/>
      <c r="Q504" s="1088"/>
      <c r="R504" s="1088"/>
      <c r="S504" s="1088">
        <f>'Spiel 9 - Final'!I121</f>
        <v>6.666666666666667</v>
      </c>
      <c r="T504" s="1088">
        <f>'Spiel 9 - Final'!O121</f>
        <v>5</v>
      </c>
      <c r="U504" s="1088"/>
      <c r="V504" s="1088"/>
      <c r="W504" s="1088"/>
      <c r="X504" s="1088"/>
      <c r="Y504" s="1088"/>
      <c r="Z504" s="1088"/>
      <c r="AA504" s="1088"/>
      <c r="AB504" s="1049"/>
      <c r="AC504" s="1002">
        <f>AC500/AC501</f>
        <v>4.1707317073170733</v>
      </c>
    </row>
    <row r="505" spans="1:29" hidden="1" outlineLevel="1">
      <c r="A505" s="1003" t="s">
        <v>8</v>
      </c>
      <c r="B505" s="1053">
        <f>'Gruppe A'!BW65</f>
        <v>4.333333333333333</v>
      </c>
      <c r="C505" s="1091">
        <f>'Gruppe A'!AE129</f>
        <v>6</v>
      </c>
      <c r="D505" s="1055">
        <f>'Gruppe A'!BC129</f>
        <v>5.5</v>
      </c>
      <c r="E505" s="1058">
        <f>'Gruppe A'!BW107</f>
        <v>8</v>
      </c>
      <c r="F505" s="1091">
        <f>'Gruppe A'!BW19</f>
        <v>5</v>
      </c>
      <c r="G505" s="1057">
        <f>'Gruppe A'!C129</f>
        <v>7.666666666666667</v>
      </c>
      <c r="H505" s="1055">
        <f>'Gruppe A'!P129</f>
        <v>7</v>
      </c>
      <c r="I505" s="1056">
        <f>'Gruppe A'!BW40</f>
        <v>8</v>
      </c>
      <c r="J505" s="1053">
        <f>'Gruppe A'!CC129</f>
        <v>4</v>
      </c>
      <c r="K505" s="1054">
        <f>'Gruppe A'!BW153</f>
        <v>2</v>
      </c>
      <c r="L505" s="1055">
        <f>'Gruppe A'!AP129</f>
        <v>6</v>
      </c>
      <c r="M505" s="1058">
        <f>'Gruppe A'!BW84</f>
        <v>10</v>
      </c>
      <c r="N505" s="1091">
        <f>'Spiel 7 - Viertelfinal'!I134</f>
        <v>8.5</v>
      </c>
      <c r="O505" s="1091">
        <f>'Spiel 7 - Viertelfinal'!O134</f>
        <v>2</v>
      </c>
      <c r="P505" s="1091"/>
      <c r="Q505" s="1091"/>
      <c r="R505" s="1091"/>
      <c r="S505" s="1091">
        <f>'Spiel 9 - Final'!I122</f>
        <v>6.666666666666667</v>
      </c>
      <c r="T505" s="1091">
        <f>'Spiel 9 - Final'!O122</f>
        <v>7.5</v>
      </c>
      <c r="U505" s="1091"/>
      <c r="V505" s="1091"/>
      <c r="W505" s="1091"/>
      <c r="X505" s="1091"/>
      <c r="Y505" s="1091"/>
      <c r="Z505" s="1091"/>
      <c r="AA505" s="1091"/>
      <c r="AB505" s="1057"/>
      <c r="AC505" s="1007">
        <f>AC500/(AC501-AC502)</f>
        <v>6.333333333333333</v>
      </c>
    </row>
    <row r="506" spans="1:29" ht="3" hidden="1" customHeight="1" outlineLevel="1">
      <c r="B506" s="582"/>
      <c r="C506" s="582"/>
      <c r="D506" s="582"/>
      <c r="E506" s="582"/>
      <c r="F506" s="582"/>
      <c r="G506" s="582"/>
      <c r="H506" s="582"/>
      <c r="I506" s="582"/>
      <c r="J506" s="582"/>
      <c r="K506" s="582"/>
      <c r="L506" s="582"/>
      <c r="M506" s="1025"/>
      <c r="N506" s="582"/>
      <c r="O506" s="582"/>
      <c r="P506" s="582"/>
      <c r="Q506" s="582"/>
      <c r="R506" s="582"/>
      <c r="S506" s="582"/>
      <c r="T506" s="582"/>
      <c r="U506" s="582"/>
      <c r="V506" s="582"/>
      <c r="W506" s="582"/>
      <c r="X506" s="582"/>
      <c r="Y506" s="582"/>
      <c r="Z506" s="582"/>
      <c r="AA506" s="582"/>
      <c r="AB506" s="582"/>
    </row>
    <row r="507" spans="1:29" hidden="1" outlineLevel="1">
      <c r="A507" s="1178" t="s">
        <v>107</v>
      </c>
      <c r="B507" s="1242"/>
      <c r="C507" s="1243"/>
      <c r="D507" s="1021"/>
      <c r="E507" s="1023"/>
      <c r="F507" s="1022"/>
      <c r="G507" s="1023"/>
      <c r="H507" s="1021"/>
      <c r="I507" s="1023"/>
      <c r="J507" s="1021"/>
      <c r="K507" s="1023"/>
      <c r="L507" s="1021"/>
      <c r="M507" s="1023"/>
      <c r="N507" s="1022"/>
      <c r="O507" s="1022"/>
      <c r="P507" s="1022"/>
      <c r="Q507" s="1022"/>
      <c r="R507" s="1022"/>
      <c r="S507" s="1022"/>
      <c r="T507" s="1022"/>
      <c r="U507" s="1022"/>
      <c r="V507" s="1022"/>
      <c r="W507" s="1022"/>
      <c r="X507" s="1022"/>
      <c r="Y507" s="1022"/>
      <c r="Z507" s="1022"/>
      <c r="AA507" s="1022"/>
      <c r="AB507" s="1023"/>
      <c r="AC507" s="1178"/>
    </row>
    <row r="508" spans="1:29" hidden="1" outlineLevel="1">
      <c r="A508" s="971" t="s">
        <v>3</v>
      </c>
      <c r="B508" s="1027">
        <f>'Gruppe A'!BY60</f>
        <v>3</v>
      </c>
      <c r="C508" s="113">
        <f>'Gruppe A'!AC124</f>
        <v>5</v>
      </c>
      <c r="D508" s="1028">
        <f>'Gruppe A'!BD124</f>
        <v>10</v>
      </c>
      <c r="E508" s="1029">
        <f>'Gruppe A'!BX102</f>
        <v>7</v>
      </c>
      <c r="F508" s="113">
        <f>'Gruppe A'!BY14</f>
        <v>0</v>
      </c>
      <c r="G508" s="1031">
        <f>'Gruppe A'!D124</f>
        <v>5</v>
      </c>
      <c r="H508" s="1027">
        <f>'Gruppe A'!Q124</f>
        <v>3</v>
      </c>
      <c r="I508" s="1029">
        <f>'Gruppe A'!BX35</f>
        <v>4</v>
      </c>
      <c r="J508" s="1028">
        <f>'Gruppe A'!CD124</f>
        <v>28</v>
      </c>
      <c r="K508" s="1079">
        <f>'Gruppe A'!BX148</f>
        <v>12</v>
      </c>
      <c r="L508" s="1027">
        <f>'Gruppe A'!AQ124</f>
        <v>13</v>
      </c>
      <c r="M508" s="1031">
        <f>'Gruppe A'!BX79</f>
        <v>7</v>
      </c>
      <c r="N508" s="1079">
        <f>'Spiel 7 - Viertelfinal'!J129</f>
        <v>12</v>
      </c>
      <c r="O508" s="1079">
        <f>'Spiel 7 - Viertelfinal'!P129</f>
        <v>19</v>
      </c>
      <c r="P508" s="1079"/>
      <c r="Q508" s="1079"/>
      <c r="R508" s="1079"/>
      <c r="S508" s="1079">
        <f>'Spiel 9 - Final'!J117</f>
        <v>7</v>
      </c>
      <c r="T508" s="1079">
        <f>'Spiel 9 - Final'!P117</f>
        <v>13</v>
      </c>
      <c r="U508" s="1079"/>
      <c r="V508" s="1079"/>
      <c r="W508" s="1079"/>
      <c r="X508" s="1079"/>
      <c r="Y508" s="1079"/>
      <c r="Z508" s="1079"/>
      <c r="AA508" s="1079"/>
      <c r="AB508" s="1030"/>
      <c r="AC508" s="979">
        <f>SUM(B508:AB508)</f>
        <v>148</v>
      </c>
    </row>
    <row r="509" spans="1:29" hidden="1" outlineLevel="1">
      <c r="A509" s="971" t="s">
        <v>4</v>
      </c>
      <c r="B509" s="1028">
        <f>'Gruppe A'!BY61</f>
        <v>2</v>
      </c>
      <c r="C509" s="1079">
        <f>'Gruppe A'!AC125</f>
        <v>3</v>
      </c>
      <c r="D509" s="1028">
        <f>'Gruppe A'!BD125</f>
        <v>2</v>
      </c>
      <c r="E509" s="1031">
        <f>'Gruppe A'!BX103</f>
        <v>2</v>
      </c>
      <c r="F509" s="1079">
        <f>'Gruppe A'!BY15</f>
        <v>1</v>
      </c>
      <c r="G509" s="1030">
        <f>'Gruppe A'!D125</f>
        <v>2</v>
      </c>
      <c r="H509" s="1028">
        <f>'Gruppe A'!Q125</f>
        <v>2</v>
      </c>
      <c r="I509" s="1029">
        <f>'Gruppe A'!BX36</f>
        <v>1</v>
      </c>
      <c r="J509" s="1027">
        <f>'Gruppe A'!CD125</f>
        <v>3</v>
      </c>
      <c r="K509" s="113">
        <f>'Gruppe A'!BX149</f>
        <v>3</v>
      </c>
      <c r="L509" s="1028">
        <f>'Gruppe A'!AQ125</f>
        <v>2</v>
      </c>
      <c r="M509" s="1031">
        <f>'Gruppe A'!BX80</f>
        <v>2</v>
      </c>
      <c r="N509" s="1079">
        <f>'Spiel 7 - Viertelfinal'!J130</f>
        <v>2</v>
      </c>
      <c r="O509" s="1079">
        <f>'Spiel 7 - Viertelfinal'!P130</f>
        <v>3</v>
      </c>
      <c r="P509" s="1079"/>
      <c r="Q509" s="1079"/>
      <c r="R509" s="1079"/>
      <c r="S509" s="1079">
        <f>'Spiel 9 - Final'!J118</f>
        <v>2</v>
      </c>
      <c r="T509" s="1079">
        <f>'Spiel 9 - Final'!P118</f>
        <v>3</v>
      </c>
      <c r="U509" s="1079"/>
      <c r="V509" s="1079"/>
      <c r="W509" s="1079"/>
      <c r="X509" s="1079"/>
      <c r="Y509" s="1079"/>
      <c r="Z509" s="1079"/>
      <c r="AA509" s="1079"/>
      <c r="AB509" s="1030"/>
      <c r="AC509" s="985">
        <f>SUM(B509:AB509)</f>
        <v>35</v>
      </c>
    </row>
    <row r="510" spans="1:29" hidden="1" outlineLevel="1">
      <c r="A510" s="971" t="s">
        <v>6</v>
      </c>
      <c r="B510" s="1028">
        <f>'Gruppe A'!BY62</f>
        <v>1</v>
      </c>
      <c r="C510" s="113">
        <f>'Gruppe A'!AC126</f>
        <v>1</v>
      </c>
      <c r="D510" s="1028">
        <f>'Gruppe A'!BD126</f>
        <v>1</v>
      </c>
      <c r="E510" s="978">
        <f>'Gruppe A'!BX104</f>
        <v>0</v>
      </c>
      <c r="F510" s="1079">
        <f>'Gruppe A'!BY16</f>
        <v>1</v>
      </c>
      <c r="G510" s="973">
        <f>'Gruppe A'!D126</f>
        <v>0</v>
      </c>
      <c r="H510" s="1028">
        <f>'Gruppe A'!Q126</f>
        <v>1</v>
      </c>
      <c r="I510" s="973">
        <f>'Gruppe A'!BX37</f>
        <v>0</v>
      </c>
      <c r="J510" s="972">
        <f>'Gruppe A'!CD126</f>
        <v>0</v>
      </c>
      <c r="K510" s="115">
        <f>'Gruppe A'!BX150</f>
        <v>1</v>
      </c>
      <c r="L510" s="972">
        <f>'Gruppe A'!AQ126</f>
        <v>0</v>
      </c>
      <c r="M510" s="978">
        <f>'Gruppe A'!BX81</f>
        <v>0</v>
      </c>
      <c r="N510" s="973">
        <f>'Spiel 7 - Viertelfinal'!J131</f>
        <v>0</v>
      </c>
      <c r="O510" s="973">
        <f>'Spiel 7 - Viertelfinal'!P131</f>
        <v>0</v>
      </c>
      <c r="P510" s="113"/>
      <c r="Q510" s="113"/>
      <c r="R510" s="113"/>
      <c r="S510" s="113">
        <f>'Spiel 9 - Final'!J119</f>
        <v>1</v>
      </c>
      <c r="T510" s="973">
        <f>'Spiel 9 - Final'!P119</f>
        <v>0</v>
      </c>
      <c r="U510" s="113"/>
      <c r="V510" s="113"/>
      <c r="W510" s="113"/>
      <c r="X510" s="113"/>
      <c r="Y510" s="113"/>
      <c r="Z510" s="113"/>
      <c r="AA510" s="113"/>
      <c r="AB510" s="1030"/>
      <c r="AC510" s="987">
        <f>SUM(B510:AB510)</f>
        <v>7</v>
      </c>
    </row>
    <row r="511" spans="1:29" hidden="1" outlineLevel="1">
      <c r="A511" s="971" t="s">
        <v>12</v>
      </c>
      <c r="B511" s="1083">
        <f>'Gruppe A'!BY63</f>
        <v>0.5</v>
      </c>
      <c r="C511" s="1084">
        <f>'Gruppe A'!AC127</f>
        <v>0.33333333333333331</v>
      </c>
      <c r="D511" s="1083">
        <f>'Gruppe A'!BD127</f>
        <v>0.5</v>
      </c>
      <c r="E511" s="1042">
        <f>'Gruppe A'!BX105</f>
        <v>0</v>
      </c>
      <c r="F511" s="1044">
        <f>'Gruppe A'!BY17</f>
        <v>1</v>
      </c>
      <c r="G511" s="989">
        <f>'Gruppe A'!D127</f>
        <v>0</v>
      </c>
      <c r="H511" s="1083">
        <f>'Gruppe A'!Q127</f>
        <v>0.5</v>
      </c>
      <c r="I511" s="989">
        <f>'Gruppe A'!BX38</f>
        <v>0</v>
      </c>
      <c r="J511" s="1043">
        <f>'Gruppe A'!CD127</f>
        <v>0</v>
      </c>
      <c r="K511" s="1082">
        <f>'Gruppe A'!BX151</f>
        <v>0.33333333333333331</v>
      </c>
      <c r="L511" s="1043">
        <f>'Gruppe A'!AQ127</f>
        <v>0</v>
      </c>
      <c r="M511" s="1042">
        <f>'Gruppe A'!BX82</f>
        <v>0</v>
      </c>
      <c r="N511" s="989">
        <f>'Spiel 7 - Viertelfinal'!J132</f>
        <v>0</v>
      </c>
      <c r="O511" s="989">
        <f>'Spiel 7 - Viertelfinal'!P132</f>
        <v>0</v>
      </c>
      <c r="P511" s="1084"/>
      <c r="Q511" s="1084"/>
      <c r="R511" s="1084"/>
      <c r="S511" s="1084">
        <f>'Spiel 9 - Final'!J120</f>
        <v>0.5</v>
      </c>
      <c r="T511" s="989">
        <f>'Spiel 9 - Final'!P120</f>
        <v>0</v>
      </c>
      <c r="U511" s="1084"/>
      <c r="V511" s="1084"/>
      <c r="W511" s="1084"/>
      <c r="X511" s="1084"/>
      <c r="Y511" s="1084"/>
      <c r="Z511" s="1084"/>
      <c r="AA511" s="1084"/>
      <c r="AB511" s="1086"/>
      <c r="AC511" s="996">
        <f>AC510/AC509</f>
        <v>0.2</v>
      </c>
    </row>
    <row r="512" spans="1:29" hidden="1" outlineLevel="1">
      <c r="A512" s="971" t="s">
        <v>5</v>
      </c>
      <c r="B512" s="1045">
        <f>'Gruppe A'!BY64</f>
        <v>1.5</v>
      </c>
      <c r="C512" s="1088">
        <f>'Gruppe A'!AC128</f>
        <v>1.6666666666666667</v>
      </c>
      <c r="D512" s="1047">
        <f>'Gruppe A'!BD128</f>
        <v>5</v>
      </c>
      <c r="E512" s="1050">
        <f>'Gruppe A'!BX106</f>
        <v>3.5</v>
      </c>
      <c r="F512" s="1124">
        <f>'Gruppe A'!BY18</f>
        <v>0</v>
      </c>
      <c r="G512" s="1049">
        <f>'Gruppe A'!D128</f>
        <v>2.5</v>
      </c>
      <c r="H512" s="1047">
        <f>'Gruppe A'!Q128</f>
        <v>1.5</v>
      </c>
      <c r="I512" s="1048">
        <f>'Gruppe A'!BX39</f>
        <v>4</v>
      </c>
      <c r="J512" s="1045">
        <f>'Gruppe A'!CD128</f>
        <v>9.3333333333333339</v>
      </c>
      <c r="K512" s="1046">
        <f>'Gruppe A'!BX152</f>
        <v>4</v>
      </c>
      <c r="L512" s="1047">
        <f>'Gruppe A'!AQ128</f>
        <v>6.5</v>
      </c>
      <c r="M512" s="1050">
        <f>'Gruppe A'!BX83</f>
        <v>3.5</v>
      </c>
      <c r="N512" s="1088">
        <f>'Spiel 7 - Viertelfinal'!J133</f>
        <v>6</v>
      </c>
      <c r="O512" s="1088">
        <f>'Spiel 7 - Viertelfinal'!P133</f>
        <v>6.333333333333333</v>
      </c>
      <c r="P512" s="1088"/>
      <c r="Q512" s="1088"/>
      <c r="R512" s="1088"/>
      <c r="S512" s="1088">
        <f>'Spiel 9 - Final'!J121</f>
        <v>3.5</v>
      </c>
      <c r="T512" s="1088">
        <f>'Spiel 9 - Final'!P121</f>
        <v>4.333333333333333</v>
      </c>
      <c r="U512" s="1088"/>
      <c r="V512" s="1088"/>
      <c r="W512" s="1088"/>
      <c r="X512" s="1088"/>
      <c r="Y512" s="1088"/>
      <c r="Z512" s="1088"/>
      <c r="AA512" s="1088"/>
      <c r="AB512" s="1049"/>
      <c r="AC512" s="1002">
        <f>AC508/AC509</f>
        <v>4.2285714285714286</v>
      </c>
    </row>
    <row r="513" spans="1:29" hidden="1" outlineLevel="1">
      <c r="A513" s="1003" t="s">
        <v>8</v>
      </c>
      <c r="B513" s="1053">
        <f>'Gruppe A'!BY65</f>
        <v>3</v>
      </c>
      <c r="C513" s="1091">
        <f>'Gruppe A'!AC129</f>
        <v>2.5</v>
      </c>
      <c r="D513" s="1055">
        <f>'Gruppe A'!BD129</f>
        <v>10</v>
      </c>
      <c r="E513" s="1058">
        <f>'Gruppe A'!BX107</f>
        <v>3.5</v>
      </c>
      <c r="F513" s="1091">
        <f>'Gruppe A'!BY19</f>
        <v>0</v>
      </c>
      <c r="G513" s="1057">
        <f>'Gruppe A'!D129</f>
        <v>2.5</v>
      </c>
      <c r="H513" s="1055">
        <f>'Gruppe A'!Q129</f>
        <v>3</v>
      </c>
      <c r="I513" s="1056">
        <f>'Gruppe A'!BX40</f>
        <v>4</v>
      </c>
      <c r="J513" s="1053">
        <f>'Gruppe A'!CD129</f>
        <v>9.3333333333333339</v>
      </c>
      <c r="K513" s="1054">
        <f>'Gruppe A'!BX153</f>
        <v>6</v>
      </c>
      <c r="L513" s="1055">
        <f>'Gruppe A'!AQ129</f>
        <v>6.5</v>
      </c>
      <c r="M513" s="1058">
        <f>'Gruppe A'!BX84</f>
        <v>0</v>
      </c>
      <c r="N513" s="1091">
        <f>'Spiel 7 - Viertelfinal'!J134</f>
        <v>6</v>
      </c>
      <c r="O513" s="1091">
        <f>'Spiel 7 - Viertelfinal'!P134</f>
        <v>6.333333333333333</v>
      </c>
      <c r="P513" s="1091"/>
      <c r="Q513" s="1091"/>
      <c r="R513" s="1091"/>
      <c r="S513" s="1091">
        <f>'Spiel 9 - Final'!J122</f>
        <v>7</v>
      </c>
      <c r="T513" s="1091">
        <f>'Spiel 9 - Final'!P122</f>
        <v>4.333333333333333</v>
      </c>
      <c r="U513" s="1091"/>
      <c r="V513" s="1091"/>
      <c r="W513" s="1091"/>
      <c r="X513" s="1091"/>
      <c r="Y513" s="1091"/>
      <c r="Z513" s="1091"/>
      <c r="AA513" s="1091"/>
      <c r="AB513" s="1057"/>
      <c r="AC513" s="1007">
        <f>AC508/(AC509-AC510)</f>
        <v>5.2857142857142856</v>
      </c>
    </row>
    <row r="514" spans="1:29" ht="3" hidden="1" customHeight="1" outlineLevel="1">
      <c r="B514" s="582"/>
      <c r="C514" s="582"/>
      <c r="D514" s="582"/>
      <c r="E514" s="582"/>
      <c r="F514" s="582"/>
      <c r="G514" s="582"/>
      <c r="H514" s="582"/>
      <c r="I514" s="582"/>
      <c r="J514" s="582"/>
      <c r="K514" s="582"/>
      <c r="L514" s="582"/>
      <c r="M514" s="1025"/>
      <c r="N514" s="582"/>
      <c r="O514" s="582"/>
      <c r="P514" s="582"/>
      <c r="Q514" s="582"/>
      <c r="R514" s="582"/>
      <c r="S514" s="582"/>
      <c r="T514" s="582"/>
      <c r="U514" s="582"/>
      <c r="V514" s="582"/>
      <c r="W514" s="582"/>
      <c r="X514" s="582"/>
      <c r="Y514" s="582"/>
      <c r="Z514" s="582"/>
      <c r="AA514" s="582"/>
      <c r="AB514" s="582"/>
    </row>
    <row r="515" spans="1:29" hidden="1" outlineLevel="1">
      <c r="A515" s="1178" t="s">
        <v>55</v>
      </c>
      <c r="B515" s="1021"/>
      <c r="C515" s="1022"/>
      <c r="D515" s="1021"/>
      <c r="E515" s="1023"/>
      <c r="F515" s="1022"/>
      <c r="G515" s="1023"/>
      <c r="H515" s="1021"/>
      <c r="I515" s="1023"/>
      <c r="J515" s="1021"/>
      <c r="K515" s="1023"/>
      <c r="L515" s="1021"/>
      <c r="M515" s="1023"/>
      <c r="N515" s="1022"/>
      <c r="O515" s="1022"/>
      <c r="P515" s="1022"/>
      <c r="Q515" s="1022"/>
      <c r="R515" s="1022"/>
      <c r="S515" s="1022"/>
      <c r="T515" s="1022"/>
      <c r="U515" s="1022"/>
      <c r="V515" s="1022"/>
      <c r="W515" s="1022"/>
      <c r="X515" s="1022"/>
      <c r="Y515" s="1022"/>
      <c r="Z515" s="1022"/>
      <c r="AA515" s="1022"/>
      <c r="AB515" s="1023"/>
      <c r="AC515" s="1178"/>
    </row>
    <row r="516" spans="1:29" hidden="1" outlineLevel="1">
      <c r="A516" s="971" t="s">
        <v>3</v>
      </c>
      <c r="B516" s="1027">
        <f>'Gruppe A'!BX60</f>
        <v>15</v>
      </c>
      <c r="C516" s="113">
        <f>'Gruppe A'!AD124</f>
        <v>27</v>
      </c>
      <c r="D516" s="1028">
        <f>'Gruppe A'!BE124</f>
        <v>13</v>
      </c>
      <c r="E516" s="1029">
        <f>'Gruppe A'!BY102</f>
        <v>19</v>
      </c>
      <c r="F516" s="113">
        <f>'Gruppe A'!BX14</f>
        <v>6</v>
      </c>
      <c r="G516" s="1031">
        <f>'Gruppe A'!E124</f>
        <v>6</v>
      </c>
      <c r="H516" s="1027">
        <f>'Gruppe A'!R124</f>
        <v>11</v>
      </c>
      <c r="I516" s="1029">
        <f>'Gruppe A'!BY35</f>
        <v>2</v>
      </c>
      <c r="J516" s="1028">
        <f>'Gruppe A'!CE124</f>
        <v>13</v>
      </c>
      <c r="K516" s="1079">
        <f>'Gruppe A'!BY148</f>
        <v>8</v>
      </c>
      <c r="L516" s="1027">
        <f>'Gruppe A'!AR124</f>
        <v>12</v>
      </c>
      <c r="M516" s="1031">
        <f>'Gruppe A'!BY79</f>
        <v>12</v>
      </c>
      <c r="N516" s="1079">
        <f>'Spiel 7 - Viertelfinal'!K129</f>
        <v>4</v>
      </c>
      <c r="O516" s="1079">
        <f>'Spiel 7 - Viertelfinal'!Q129</f>
        <v>9</v>
      </c>
      <c r="P516" s="1079"/>
      <c r="Q516" s="1079"/>
      <c r="R516" s="1079"/>
      <c r="S516" s="1079">
        <f>'Spiel 9 - Final'!K117</f>
        <v>11</v>
      </c>
      <c r="T516" s="1079">
        <f>'Spiel 9 - Final'!Q117</f>
        <v>6</v>
      </c>
      <c r="U516" s="1079"/>
      <c r="V516" s="1079"/>
      <c r="W516" s="1079"/>
      <c r="X516" s="1079"/>
      <c r="Y516" s="1079"/>
      <c r="Z516" s="1079"/>
      <c r="AA516" s="1079"/>
      <c r="AB516" s="1030"/>
      <c r="AC516" s="979">
        <f>SUM(B516:AB516)</f>
        <v>174</v>
      </c>
    </row>
    <row r="517" spans="1:29" hidden="1" outlineLevel="1">
      <c r="A517" s="971" t="s">
        <v>4</v>
      </c>
      <c r="B517" s="1028">
        <f>'Gruppe A'!BX61</f>
        <v>2</v>
      </c>
      <c r="C517" s="1079">
        <f>'Gruppe A'!AD125</f>
        <v>3</v>
      </c>
      <c r="D517" s="1028">
        <f>'Gruppe A'!BE125</f>
        <v>2</v>
      </c>
      <c r="E517" s="1031">
        <f>'Gruppe A'!BY103</f>
        <v>2</v>
      </c>
      <c r="F517" s="1079">
        <f>'Gruppe A'!BX15</f>
        <v>1</v>
      </c>
      <c r="G517" s="1030">
        <f>'Gruppe A'!E125</f>
        <v>2</v>
      </c>
      <c r="H517" s="1028">
        <f>'Gruppe A'!R125</f>
        <v>2</v>
      </c>
      <c r="I517" s="1029">
        <f>'Gruppe A'!BY36</f>
        <v>1</v>
      </c>
      <c r="J517" s="1027">
        <f>'Gruppe A'!CE125</f>
        <v>2</v>
      </c>
      <c r="K517" s="113">
        <f>'Gruppe A'!BY149</f>
        <v>3</v>
      </c>
      <c r="L517" s="1028">
        <f>'Gruppe A'!AR125</f>
        <v>2</v>
      </c>
      <c r="M517" s="1031">
        <f>'Gruppe A'!BY80</f>
        <v>2</v>
      </c>
      <c r="N517" s="1079">
        <f>'Spiel 7 - Viertelfinal'!K130</f>
        <v>1</v>
      </c>
      <c r="O517" s="1079">
        <f>'Spiel 7 - Viertelfinal'!Q130</f>
        <v>3</v>
      </c>
      <c r="P517" s="1079"/>
      <c r="Q517" s="1079"/>
      <c r="R517" s="1079"/>
      <c r="S517" s="1079">
        <f>'Spiel 9 - Final'!K118</f>
        <v>2</v>
      </c>
      <c r="T517" s="1079">
        <f>'Spiel 9 - Final'!Q118</f>
        <v>2</v>
      </c>
      <c r="U517" s="1079"/>
      <c r="V517" s="1079"/>
      <c r="W517" s="1079"/>
      <c r="X517" s="1079"/>
      <c r="Y517" s="1079"/>
      <c r="Z517" s="1079"/>
      <c r="AA517" s="1079"/>
      <c r="AB517" s="1030"/>
      <c r="AC517" s="985">
        <f>SUM(B517:AB517)</f>
        <v>32</v>
      </c>
    </row>
    <row r="518" spans="1:29" hidden="1" outlineLevel="1">
      <c r="A518" s="971" t="s">
        <v>6</v>
      </c>
      <c r="B518" s="972">
        <f>'Gruppe A'!BX62</f>
        <v>0</v>
      </c>
      <c r="C518" s="973">
        <f>'Gruppe A'!AD126</f>
        <v>0</v>
      </c>
      <c r="D518" s="972">
        <f>'Gruppe A'!BE126</f>
        <v>0</v>
      </c>
      <c r="E518" s="978">
        <f>'Gruppe A'!BY104</f>
        <v>0</v>
      </c>
      <c r="F518" s="973">
        <f>'Gruppe A'!BX16</f>
        <v>0</v>
      </c>
      <c r="G518" s="973">
        <f>'Gruppe A'!E126</f>
        <v>0</v>
      </c>
      <c r="H518" s="972">
        <f>'Gruppe A'!R126</f>
        <v>0</v>
      </c>
      <c r="I518" s="115">
        <f>'Gruppe A'!BY37</f>
        <v>0</v>
      </c>
      <c r="J518" s="1028">
        <f>'Gruppe A'!CE126</f>
        <v>1</v>
      </c>
      <c r="K518" s="973">
        <f>'Gruppe A'!BY150</f>
        <v>0</v>
      </c>
      <c r="L518" s="1028">
        <f>'Gruppe A'!AR126</f>
        <v>1</v>
      </c>
      <c r="M518" s="978">
        <f>'Gruppe A'!BY81</f>
        <v>0</v>
      </c>
      <c r="N518" s="973">
        <f>'Spiel 7 - Viertelfinal'!K131</f>
        <v>0</v>
      </c>
      <c r="O518" s="113">
        <f>'Spiel 7 - Viertelfinal'!Q131</f>
        <v>2</v>
      </c>
      <c r="P518" s="113"/>
      <c r="Q518" s="113"/>
      <c r="R518" s="113"/>
      <c r="S518" s="973">
        <f>'Spiel 9 - Final'!K119</f>
        <v>0</v>
      </c>
      <c r="T518" s="973">
        <f>'Spiel 9 - Final'!Q119</f>
        <v>0</v>
      </c>
      <c r="U518" s="113"/>
      <c r="V518" s="113"/>
      <c r="W518" s="113"/>
      <c r="X518" s="113"/>
      <c r="Y518" s="113"/>
      <c r="Z518" s="113"/>
      <c r="AA518" s="113"/>
      <c r="AB518" s="1030"/>
      <c r="AC518" s="987">
        <f>SUM(B518:AB518)</f>
        <v>4</v>
      </c>
    </row>
    <row r="519" spans="1:29" hidden="1" outlineLevel="1">
      <c r="A519" s="971" t="s">
        <v>12</v>
      </c>
      <c r="B519" s="1043">
        <f>'Gruppe A'!BX63</f>
        <v>0</v>
      </c>
      <c r="C519" s="989">
        <f>'Gruppe A'!AD127</f>
        <v>0</v>
      </c>
      <c r="D519" s="1043">
        <f>'Gruppe A'!BE127</f>
        <v>0</v>
      </c>
      <c r="E519" s="1042">
        <f>'Gruppe A'!BY105</f>
        <v>0</v>
      </c>
      <c r="F519" s="989">
        <f>'Gruppe A'!BX17</f>
        <v>0</v>
      </c>
      <c r="G519" s="989">
        <f>'Gruppe A'!E127</f>
        <v>0</v>
      </c>
      <c r="H519" s="1043">
        <f>'Gruppe A'!R127</f>
        <v>0</v>
      </c>
      <c r="I519" s="1082">
        <f>'Gruppe A'!BY38</f>
        <v>0</v>
      </c>
      <c r="J519" s="1083">
        <f>'Gruppe A'!CE127</f>
        <v>0.5</v>
      </c>
      <c r="K519" s="989">
        <f>'Gruppe A'!BY151</f>
        <v>0</v>
      </c>
      <c r="L519" s="1083">
        <f>'Gruppe A'!AR127</f>
        <v>0.5</v>
      </c>
      <c r="M519" s="1042">
        <f>'Gruppe A'!BY82</f>
        <v>0</v>
      </c>
      <c r="N519" s="989">
        <f>'Spiel 7 - Viertelfinal'!K132</f>
        <v>0</v>
      </c>
      <c r="O519" s="1084">
        <f>'Spiel 7 - Viertelfinal'!Q132</f>
        <v>0.66666666666666663</v>
      </c>
      <c r="P519" s="1084"/>
      <c r="Q519" s="1084"/>
      <c r="R519" s="1084"/>
      <c r="S519" s="989">
        <f>'Spiel 9 - Final'!K120</f>
        <v>0</v>
      </c>
      <c r="T519" s="989">
        <f>'Spiel 9 - Final'!Q120</f>
        <v>0</v>
      </c>
      <c r="U519" s="1084"/>
      <c r="V519" s="1084"/>
      <c r="W519" s="1084"/>
      <c r="X519" s="1084"/>
      <c r="Y519" s="1084"/>
      <c r="Z519" s="1084"/>
      <c r="AA519" s="1084"/>
      <c r="AB519" s="1086"/>
      <c r="AC519" s="996">
        <f>AC518/AC517</f>
        <v>0.125</v>
      </c>
    </row>
    <row r="520" spans="1:29" hidden="1" outlineLevel="1">
      <c r="A520" s="971" t="s">
        <v>5</v>
      </c>
      <c r="B520" s="1045">
        <f>'Gruppe A'!BX64</f>
        <v>7.5</v>
      </c>
      <c r="C520" s="1088">
        <f>'Gruppe A'!AD128</f>
        <v>9</v>
      </c>
      <c r="D520" s="1047">
        <f>'Gruppe A'!BE128</f>
        <v>6.5</v>
      </c>
      <c r="E520" s="1050">
        <f>'Gruppe A'!BY106</f>
        <v>9.5</v>
      </c>
      <c r="F520" s="1124">
        <f>'Gruppe A'!BX18</f>
        <v>6</v>
      </c>
      <c r="G520" s="1049">
        <f>'Gruppe A'!E128</f>
        <v>3</v>
      </c>
      <c r="H520" s="1047">
        <f>'Gruppe A'!R128</f>
        <v>5.5</v>
      </c>
      <c r="I520" s="1048">
        <f>'Gruppe A'!BY39</f>
        <v>2</v>
      </c>
      <c r="J520" s="1045">
        <f>'Gruppe A'!CE128</f>
        <v>6.5</v>
      </c>
      <c r="K520" s="1046">
        <f>'Gruppe A'!BY152</f>
        <v>2.6666666666666665</v>
      </c>
      <c r="L520" s="1047">
        <f>'Gruppe A'!AR128</f>
        <v>6</v>
      </c>
      <c r="M520" s="1050">
        <f>'Gruppe A'!BY83</f>
        <v>6</v>
      </c>
      <c r="N520" s="1088">
        <f>'Spiel 7 - Viertelfinal'!K133</f>
        <v>4</v>
      </c>
      <c r="O520" s="1088">
        <f>'Spiel 7 - Viertelfinal'!Q133</f>
        <v>3</v>
      </c>
      <c r="P520" s="1088"/>
      <c r="Q520" s="1088"/>
      <c r="R520" s="1088"/>
      <c r="S520" s="1088">
        <f>'Spiel 9 - Final'!K121</f>
        <v>5.5</v>
      </c>
      <c r="T520" s="1088">
        <f>'Spiel 9 - Final'!Q121</f>
        <v>3</v>
      </c>
      <c r="U520" s="1088"/>
      <c r="V520" s="1088"/>
      <c r="W520" s="1088"/>
      <c r="X520" s="1088"/>
      <c r="Y520" s="1088"/>
      <c r="Z520" s="1088"/>
      <c r="AA520" s="1088"/>
      <c r="AB520" s="1049"/>
      <c r="AC520" s="1002">
        <f>AC516/AC517</f>
        <v>5.4375</v>
      </c>
    </row>
    <row r="521" spans="1:29" hidden="1" outlineLevel="1">
      <c r="A521" s="1003" t="s">
        <v>8</v>
      </c>
      <c r="B521" s="1053">
        <f>'Gruppe A'!BX65</f>
        <v>7.5</v>
      </c>
      <c r="C521" s="1091">
        <f>'Gruppe A'!AD129</f>
        <v>9</v>
      </c>
      <c r="D521" s="1055">
        <f>'Gruppe A'!BE129</f>
        <v>6.5</v>
      </c>
      <c r="E521" s="1058">
        <f>'Gruppe A'!BY107</f>
        <v>9.5</v>
      </c>
      <c r="F521" s="1091">
        <f>'Gruppe A'!BX19</f>
        <v>6</v>
      </c>
      <c r="G521" s="1057">
        <f>'Gruppe A'!E129</f>
        <v>3</v>
      </c>
      <c r="H521" s="1055">
        <f>'Gruppe A'!R129</f>
        <v>5.5</v>
      </c>
      <c r="I521" s="1056">
        <f>'Gruppe A'!BY40</f>
        <v>2</v>
      </c>
      <c r="J521" s="1053">
        <f>'Gruppe A'!CE129</f>
        <v>13</v>
      </c>
      <c r="K521" s="1054">
        <f>'Gruppe A'!BY153</f>
        <v>2.6666666666666665</v>
      </c>
      <c r="L521" s="1055">
        <f>'Gruppe A'!AR129</f>
        <v>12</v>
      </c>
      <c r="M521" s="1058">
        <f>'Gruppe A'!BY84</f>
        <v>0</v>
      </c>
      <c r="N521" s="1091">
        <f>'Spiel 7 - Viertelfinal'!K134</f>
        <v>4</v>
      </c>
      <c r="O521" s="1091">
        <f>'Spiel 7 - Viertelfinal'!Q134</f>
        <v>9</v>
      </c>
      <c r="P521" s="1091"/>
      <c r="Q521" s="1091"/>
      <c r="R521" s="1091"/>
      <c r="S521" s="1091">
        <f>'Spiel 9 - Final'!K122</f>
        <v>5.5</v>
      </c>
      <c r="T521" s="1091">
        <f>'Spiel 9 - Final'!Q122</f>
        <v>3</v>
      </c>
      <c r="U521" s="1091"/>
      <c r="V521" s="1091"/>
      <c r="W521" s="1091"/>
      <c r="X521" s="1091"/>
      <c r="Y521" s="1091"/>
      <c r="Z521" s="1091"/>
      <c r="AA521" s="1091"/>
      <c r="AB521" s="1057"/>
      <c r="AC521" s="1007">
        <f>AC516/(AC517-AC518)</f>
        <v>6.2142857142857144</v>
      </c>
    </row>
    <row r="522" spans="1:29" ht="3" hidden="1" customHeight="1" outlineLevel="1">
      <c r="B522" s="582"/>
      <c r="C522" s="582"/>
      <c r="D522" s="582"/>
      <c r="E522" s="582"/>
      <c r="F522" s="582"/>
      <c r="G522" s="582"/>
      <c r="H522" s="582"/>
      <c r="I522" s="582"/>
      <c r="J522" s="582"/>
      <c r="K522" s="582"/>
      <c r="L522" s="582"/>
      <c r="M522" s="1025"/>
      <c r="N522" s="582"/>
      <c r="O522" s="582"/>
      <c r="P522" s="582"/>
      <c r="Q522" s="582"/>
      <c r="R522" s="582"/>
      <c r="S522" s="582"/>
      <c r="T522" s="582"/>
      <c r="U522" s="582"/>
      <c r="V522" s="582"/>
      <c r="W522" s="582"/>
      <c r="X522" s="582"/>
      <c r="Y522" s="582"/>
      <c r="Z522" s="582"/>
      <c r="AA522" s="582"/>
      <c r="AB522" s="582"/>
    </row>
    <row r="523" spans="1:29" hidden="1" outlineLevel="1">
      <c r="A523" s="1178" t="s">
        <v>108</v>
      </c>
      <c r="B523" s="1021"/>
      <c r="C523" s="1022"/>
      <c r="D523" s="1021"/>
      <c r="E523" s="1023"/>
      <c r="F523" s="1022"/>
      <c r="G523" s="1023"/>
      <c r="H523" s="1021"/>
      <c r="I523" s="1023"/>
      <c r="J523" s="1021"/>
      <c r="K523" s="1023"/>
      <c r="L523" s="1021"/>
      <c r="M523" s="1023"/>
      <c r="N523" s="1022"/>
      <c r="O523" s="1022"/>
      <c r="P523" s="1022"/>
      <c r="Q523" s="1022"/>
      <c r="R523" s="1022"/>
      <c r="S523" s="1022"/>
      <c r="T523" s="1022"/>
      <c r="U523" s="1022"/>
      <c r="V523" s="1022"/>
      <c r="W523" s="1022"/>
      <c r="X523" s="1022"/>
      <c r="Y523" s="1022"/>
      <c r="Z523" s="1022"/>
      <c r="AA523" s="1022"/>
      <c r="AB523" s="1023"/>
      <c r="AC523" s="1178"/>
    </row>
    <row r="524" spans="1:29" hidden="1" outlineLevel="1">
      <c r="A524" s="971" t="s">
        <v>3</v>
      </c>
      <c r="B524" s="1027">
        <f>'Gruppe A'!BZ60</f>
        <v>3</v>
      </c>
      <c r="C524" s="113">
        <f>'Gruppe A'!AF124</f>
        <v>4</v>
      </c>
      <c r="D524" s="1028">
        <f>'Gruppe A'!BF124</f>
        <v>4</v>
      </c>
      <c r="E524" s="1029">
        <f>'Gruppe A'!BZ102</f>
        <v>8</v>
      </c>
      <c r="F524" s="113">
        <f>'Gruppe A'!BZ14</f>
        <v>4</v>
      </c>
      <c r="G524" s="1031">
        <f>'Gruppe A'!F124</f>
        <v>14</v>
      </c>
      <c r="H524" s="1027">
        <f>'Gruppe A'!S124</f>
        <v>2</v>
      </c>
      <c r="I524" s="1029">
        <f>'Gruppe A'!BZ35</f>
        <v>1</v>
      </c>
      <c r="J524" s="1028">
        <f>'Gruppe A'!CF124</f>
        <v>5</v>
      </c>
      <c r="K524" s="1079">
        <f>'Gruppe A'!BZ148</f>
        <v>12</v>
      </c>
      <c r="L524" s="1027">
        <f>'Gruppe A'!AS124</f>
        <v>2</v>
      </c>
      <c r="M524" s="1031">
        <f>'Gruppe A'!BZ79</f>
        <v>8</v>
      </c>
      <c r="N524" s="1079">
        <f>'Spiel 7 - Viertelfinal'!L129</f>
        <v>4</v>
      </c>
      <c r="O524" s="1079">
        <f>'Spiel 7 - Viertelfinal'!R129</f>
        <v>13</v>
      </c>
      <c r="P524" s="1079"/>
      <c r="Q524" s="1079"/>
      <c r="R524" s="1079"/>
      <c r="S524" s="1079">
        <f>'Spiel 9 - Final'!L117</f>
        <v>8</v>
      </c>
      <c r="T524" s="1079">
        <f>'Spiel 9 - Final'!R117</f>
        <v>5</v>
      </c>
      <c r="U524" s="1079"/>
      <c r="V524" s="1079"/>
      <c r="W524" s="1079"/>
      <c r="X524" s="1079"/>
      <c r="Y524" s="1079"/>
      <c r="Z524" s="1079"/>
      <c r="AA524" s="1079"/>
      <c r="AB524" s="1030"/>
      <c r="AC524" s="979">
        <f>SUM(B524:AB524)</f>
        <v>97</v>
      </c>
    </row>
    <row r="525" spans="1:29" hidden="1" outlineLevel="1">
      <c r="A525" s="971" t="s">
        <v>4</v>
      </c>
      <c r="B525" s="1028">
        <f>'Gruppe A'!BZ61</f>
        <v>2</v>
      </c>
      <c r="C525" s="1079">
        <f>'Gruppe A'!AF125</f>
        <v>2</v>
      </c>
      <c r="D525" s="1028">
        <f>'Gruppe A'!BF125</f>
        <v>2</v>
      </c>
      <c r="E525" s="1031">
        <f>'Gruppe A'!BZ103</f>
        <v>2</v>
      </c>
      <c r="F525" s="1079">
        <f>'Gruppe A'!BZ15</f>
        <v>1</v>
      </c>
      <c r="G525" s="1030">
        <f>'Gruppe A'!F125</f>
        <v>2</v>
      </c>
      <c r="H525" s="1028">
        <f>'Gruppe A'!S125</f>
        <v>1</v>
      </c>
      <c r="I525" s="1029">
        <f>'Gruppe A'!BZ36</f>
        <v>1</v>
      </c>
      <c r="J525" s="1027">
        <f>'Gruppe A'!CF125</f>
        <v>2</v>
      </c>
      <c r="K525" s="113">
        <f>'Gruppe A'!BZ149</f>
        <v>3</v>
      </c>
      <c r="L525" s="1028">
        <f>'Gruppe A'!AS125</f>
        <v>1</v>
      </c>
      <c r="M525" s="1031">
        <f>'Gruppe A'!BZ80</f>
        <v>1</v>
      </c>
      <c r="N525" s="1079">
        <f>'Spiel 7 - Viertelfinal'!L130</f>
        <v>1</v>
      </c>
      <c r="O525" s="1079">
        <f>'Spiel 7 - Viertelfinal'!R130</f>
        <v>2</v>
      </c>
      <c r="P525" s="1079"/>
      <c r="Q525" s="1079"/>
      <c r="R525" s="1079"/>
      <c r="S525" s="1079">
        <f>'Spiel 9 - Final'!L118</f>
        <v>2</v>
      </c>
      <c r="T525" s="1079">
        <f>'Spiel 9 - Final'!R118</f>
        <v>2</v>
      </c>
      <c r="U525" s="1079"/>
      <c r="V525" s="1079"/>
      <c r="W525" s="1079"/>
      <c r="X525" s="1079"/>
      <c r="Y525" s="1079"/>
      <c r="Z525" s="1079"/>
      <c r="AA525" s="1079"/>
      <c r="AB525" s="1030"/>
      <c r="AC525" s="985">
        <f>SUM(B525:AB525)</f>
        <v>27</v>
      </c>
    </row>
    <row r="526" spans="1:29" hidden="1" outlineLevel="1">
      <c r="A526" s="971" t="s">
        <v>6</v>
      </c>
      <c r="B526" s="1028">
        <f>'Gruppe A'!BZ62</f>
        <v>1</v>
      </c>
      <c r="C526" s="115">
        <f>'Gruppe A'!AF126</f>
        <v>1</v>
      </c>
      <c r="D526" s="1028">
        <f>'Gruppe A'!BF126</f>
        <v>1</v>
      </c>
      <c r="E526" s="978">
        <f>'Gruppe A'!BZ104</f>
        <v>0</v>
      </c>
      <c r="F526" s="973">
        <f>'Gruppe A'!BZ16</f>
        <v>0</v>
      </c>
      <c r="G526" s="973">
        <f>'Gruppe A'!F126</f>
        <v>0</v>
      </c>
      <c r="H526" s="972">
        <f>'Gruppe A'!S126</f>
        <v>0</v>
      </c>
      <c r="I526" s="973">
        <f>'Gruppe A'!BZ37</f>
        <v>0</v>
      </c>
      <c r="J526" s="1028">
        <f>'Gruppe A'!CF126</f>
        <v>1</v>
      </c>
      <c r="K526" s="973">
        <f>'Gruppe A'!BZ150</f>
        <v>0</v>
      </c>
      <c r="L526" s="972">
        <f>'Gruppe A'!AS126</f>
        <v>0</v>
      </c>
      <c r="M526" s="1029">
        <f>'Gruppe A'!BZ81</f>
        <v>0</v>
      </c>
      <c r="N526" s="973">
        <f>'Spiel 7 - Viertelfinal'!L131</f>
        <v>0</v>
      </c>
      <c r="O526" s="973">
        <f>'Spiel 7 - Viertelfinal'!R131</f>
        <v>0</v>
      </c>
      <c r="P526" s="113"/>
      <c r="Q526" s="113"/>
      <c r="R526" s="113"/>
      <c r="S526" s="973">
        <f>'Spiel 9 - Final'!L119</f>
        <v>0</v>
      </c>
      <c r="T526" s="113">
        <f>'Spiel 9 - Final'!R119</f>
        <v>1</v>
      </c>
      <c r="U526" s="113"/>
      <c r="V526" s="113"/>
      <c r="W526" s="113"/>
      <c r="X526" s="113"/>
      <c r="Y526" s="113"/>
      <c r="Z526" s="113"/>
      <c r="AA526" s="113"/>
      <c r="AB526" s="1030"/>
      <c r="AC526" s="987">
        <f>SUM(B526:AB526)</f>
        <v>5</v>
      </c>
    </row>
    <row r="527" spans="1:29" hidden="1" outlineLevel="1">
      <c r="A527" s="971" t="s">
        <v>12</v>
      </c>
      <c r="B527" s="1083">
        <f>'Gruppe A'!BZ63</f>
        <v>0.5</v>
      </c>
      <c r="C527" s="1082">
        <f>'Gruppe A'!AF127</f>
        <v>0.5</v>
      </c>
      <c r="D527" s="1083">
        <f>'Gruppe A'!BF127</f>
        <v>0.5</v>
      </c>
      <c r="E527" s="1042">
        <f>'Gruppe A'!BZ105</f>
        <v>0</v>
      </c>
      <c r="F527" s="989">
        <f>'Gruppe A'!BZ17</f>
        <v>0</v>
      </c>
      <c r="G527" s="989">
        <f>'Gruppe A'!F127</f>
        <v>0</v>
      </c>
      <c r="H527" s="1043">
        <f>'Gruppe A'!S127</f>
        <v>0</v>
      </c>
      <c r="I527" s="989">
        <f>'Gruppe A'!BZ38</f>
        <v>0</v>
      </c>
      <c r="J527" s="1039">
        <f>'Gruppe A'!CF127</f>
        <v>0.5</v>
      </c>
      <c r="K527" s="989">
        <f>'Gruppe A'!BZ151</f>
        <v>0</v>
      </c>
      <c r="L527" s="1043">
        <f>'Gruppe A'!AS127</f>
        <v>0</v>
      </c>
      <c r="M527" s="1085">
        <f>'Gruppe A'!BZ82</f>
        <v>0</v>
      </c>
      <c r="N527" s="989">
        <f>'Spiel 7 - Viertelfinal'!L132</f>
        <v>0</v>
      </c>
      <c r="O527" s="989">
        <f>'Spiel 7 - Viertelfinal'!R132</f>
        <v>0</v>
      </c>
      <c r="P527" s="1084"/>
      <c r="Q527" s="1084"/>
      <c r="R527" s="1084"/>
      <c r="S527" s="989">
        <f>'Spiel 9 - Final'!L120</f>
        <v>0</v>
      </c>
      <c r="T527" s="1084">
        <f>'Spiel 9 - Final'!R120</f>
        <v>0.5</v>
      </c>
      <c r="U527" s="1084"/>
      <c r="V527" s="1084"/>
      <c r="W527" s="1084"/>
      <c r="X527" s="1084"/>
      <c r="Y527" s="1084"/>
      <c r="Z527" s="1084"/>
      <c r="AA527" s="1084"/>
      <c r="AB527" s="1086"/>
      <c r="AC527" s="996">
        <f>AC526/AC525</f>
        <v>0.18518518518518517</v>
      </c>
    </row>
    <row r="528" spans="1:29" hidden="1" outlineLevel="1">
      <c r="A528" s="971" t="s">
        <v>5</v>
      </c>
      <c r="B528" s="1045">
        <f>'Gruppe A'!BZ64</f>
        <v>1.5</v>
      </c>
      <c r="C528" s="1088">
        <f>'Gruppe A'!AF128</f>
        <v>2</v>
      </c>
      <c r="D528" s="1047">
        <f>'Gruppe A'!BF128</f>
        <v>2</v>
      </c>
      <c r="E528" s="1050">
        <f>'Gruppe A'!BZ106</f>
        <v>4</v>
      </c>
      <c r="F528" s="1124">
        <f>'Gruppe A'!BZ18</f>
        <v>4</v>
      </c>
      <c r="G528" s="1049">
        <f>'Gruppe A'!F128</f>
        <v>7</v>
      </c>
      <c r="H528" s="1047">
        <f>'Gruppe A'!S128</f>
        <v>2</v>
      </c>
      <c r="I528" s="1048">
        <f>'Gruppe A'!BZ39</f>
        <v>1</v>
      </c>
      <c r="J528" s="1045">
        <f>'Gruppe A'!CF128</f>
        <v>2.5</v>
      </c>
      <c r="K528" s="1046">
        <f>'Gruppe A'!BZ152</f>
        <v>4</v>
      </c>
      <c r="L528" s="1047">
        <f>'Gruppe A'!AS128</f>
        <v>2</v>
      </c>
      <c r="M528" s="1050">
        <f>'Gruppe A'!BZ83</f>
        <v>8</v>
      </c>
      <c r="N528" s="1088">
        <f>'Spiel 7 - Viertelfinal'!L133</f>
        <v>4</v>
      </c>
      <c r="O528" s="1088">
        <f>'Spiel 7 - Viertelfinal'!R133</f>
        <v>6.5</v>
      </c>
      <c r="P528" s="1088"/>
      <c r="Q528" s="1088"/>
      <c r="R528" s="1088"/>
      <c r="S528" s="1088">
        <f>'Spiel 9 - Final'!L121</f>
        <v>4</v>
      </c>
      <c r="T528" s="1088">
        <f>'Spiel 9 - Final'!R121</f>
        <v>2.5</v>
      </c>
      <c r="U528" s="1088"/>
      <c r="V528" s="1088"/>
      <c r="W528" s="1088"/>
      <c r="X528" s="1088"/>
      <c r="Y528" s="1088"/>
      <c r="Z528" s="1088"/>
      <c r="AA528" s="1088"/>
      <c r="AB528" s="1049"/>
      <c r="AC528" s="1002">
        <f>AC524/AC525</f>
        <v>3.5925925925925926</v>
      </c>
    </row>
    <row r="529" spans="1:29" hidden="1" outlineLevel="1">
      <c r="A529" s="1003" t="s">
        <v>8</v>
      </c>
      <c r="B529" s="1053">
        <f>'Gruppe A'!BZ65</f>
        <v>0</v>
      </c>
      <c r="C529" s="1091">
        <f>'Gruppe A'!AF129</f>
        <v>4</v>
      </c>
      <c r="D529" s="1055">
        <f>'Gruppe A'!BF129</f>
        <v>4</v>
      </c>
      <c r="E529" s="1058">
        <f>'Gruppe A'!BZ107</f>
        <v>4</v>
      </c>
      <c r="F529" s="1091">
        <f>'Gruppe A'!BZ19</f>
        <v>4</v>
      </c>
      <c r="G529" s="1057">
        <f>'Gruppe A'!F129</f>
        <v>7</v>
      </c>
      <c r="H529" s="1055">
        <f>'Gruppe A'!S129</f>
        <v>2</v>
      </c>
      <c r="I529" s="1056">
        <f>'Gruppe A'!BZ40</f>
        <v>1</v>
      </c>
      <c r="J529" s="1053">
        <f>'Gruppe A'!CF129</f>
        <v>5</v>
      </c>
      <c r="K529" s="1054">
        <f>'Gruppe A'!BZ153</f>
        <v>4</v>
      </c>
      <c r="L529" s="1055">
        <f>'Gruppe A'!AS129</f>
        <v>2</v>
      </c>
      <c r="M529" s="1058">
        <f>'Gruppe A'!BZ84</f>
        <v>0</v>
      </c>
      <c r="N529" s="1091">
        <f>'Spiel 7 - Viertelfinal'!L134</f>
        <v>4</v>
      </c>
      <c r="O529" s="1091">
        <f>'Spiel 7 - Viertelfinal'!R134</f>
        <v>6.5</v>
      </c>
      <c r="P529" s="1091"/>
      <c r="Q529" s="1091"/>
      <c r="R529" s="1091"/>
      <c r="S529" s="1091">
        <f>'Spiel 9 - Final'!L122</f>
        <v>4</v>
      </c>
      <c r="T529" s="1091">
        <f>'Spiel 9 - Final'!R122</f>
        <v>5</v>
      </c>
      <c r="U529" s="1091"/>
      <c r="V529" s="1091"/>
      <c r="W529" s="1091"/>
      <c r="X529" s="1091"/>
      <c r="Y529" s="1091"/>
      <c r="Z529" s="1091"/>
      <c r="AA529" s="1091"/>
      <c r="AB529" s="1057"/>
      <c r="AC529" s="1007">
        <f>AC524/(AC525-AC526)</f>
        <v>4.4090909090909092</v>
      </c>
    </row>
    <row r="530" spans="1:29" ht="3" hidden="1" customHeight="1" outlineLevel="1">
      <c r="M530" s="1129"/>
    </row>
    <row r="531" spans="1:29" collapsed="1">
      <c r="A531" s="1178" t="s">
        <v>112</v>
      </c>
      <c r="B531" s="1147"/>
      <c r="C531" s="1146"/>
      <c r="D531" s="1147"/>
      <c r="E531" s="1149"/>
      <c r="F531" s="1146"/>
      <c r="G531" s="1149"/>
      <c r="H531" s="1147"/>
      <c r="I531" s="1149"/>
      <c r="J531" s="1147"/>
      <c r="K531" s="1149"/>
      <c r="L531" s="1147"/>
      <c r="M531" s="1149"/>
      <c r="N531" s="1146"/>
      <c r="O531" s="1146"/>
      <c r="P531" s="1146"/>
      <c r="Q531" s="1146"/>
      <c r="R531" s="1146"/>
      <c r="S531" s="1146"/>
      <c r="T531" s="1146"/>
      <c r="U531" s="1146"/>
      <c r="V531" s="1146"/>
      <c r="W531" s="1146"/>
      <c r="X531" s="1146"/>
      <c r="Y531" s="1146"/>
      <c r="Z531" s="1146"/>
      <c r="AA531" s="1146"/>
      <c r="AB531" s="1149"/>
      <c r="AC531" s="1178"/>
    </row>
    <row r="532" spans="1:29">
      <c r="A532" s="971" t="s">
        <v>3</v>
      </c>
      <c r="B532" s="982">
        <f>B540+B548+B556+B564+B572+B580</f>
        <v>37</v>
      </c>
      <c r="C532" s="1105">
        <f t="shared" ref="C532:M532" si="183">C540+C548+C556+C564+C572+C580</f>
        <v>29</v>
      </c>
      <c r="D532" s="980">
        <f t="shared" si="183"/>
        <v>26</v>
      </c>
      <c r="E532" s="1104">
        <f t="shared" si="183"/>
        <v>27</v>
      </c>
      <c r="F532" s="973">
        <f t="shared" si="183"/>
        <v>50</v>
      </c>
      <c r="G532" s="983">
        <f t="shared" si="183"/>
        <v>33</v>
      </c>
      <c r="H532" s="982">
        <f t="shared" si="183"/>
        <v>30</v>
      </c>
      <c r="I532" s="1104">
        <f t="shared" si="183"/>
        <v>36</v>
      </c>
      <c r="J532" s="1289">
        <f t="shared" si="183"/>
        <v>0</v>
      </c>
      <c r="K532" s="981">
        <f t="shared" si="183"/>
        <v>42</v>
      </c>
      <c r="L532" s="982">
        <f t="shared" si="183"/>
        <v>27</v>
      </c>
      <c r="M532" s="983">
        <f t="shared" si="183"/>
        <v>34</v>
      </c>
      <c r="N532" s="981"/>
      <c r="O532" s="981"/>
      <c r="P532" s="981"/>
      <c r="Q532" s="981"/>
      <c r="R532" s="981"/>
      <c r="S532" s="981"/>
      <c r="T532" s="981"/>
      <c r="U532" s="981"/>
      <c r="V532" s="981"/>
      <c r="W532" s="981"/>
      <c r="X532" s="981"/>
      <c r="Y532" s="981"/>
      <c r="Z532" s="981"/>
      <c r="AA532" s="981"/>
      <c r="AB532" s="984"/>
      <c r="AC532" s="979">
        <f>SUM(B532:AB532)</f>
        <v>371</v>
      </c>
    </row>
    <row r="533" spans="1:29">
      <c r="A533" s="971" t="s">
        <v>4</v>
      </c>
      <c r="B533" s="982">
        <f t="shared" ref="B533:M534" si="184">B541+B549+B557+B565+B573+B581</f>
        <v>13</v>
      </c>
      <c r="C533" s="981">
        <f t="shared" si="184"/>
        <v>7</v>
      </c>
      <c r="D533" s="980">
        <f t="shared" si="184"/>
        <v>8</v>
      </c>
      <c r="E533" s="983">
        <f t="shared" si="184"/>
        <v>7</v>
      </c>
      <c r="F533" s="981">
        <f t="shared" si="184"/>
        <v>9</v>
      </c>
      <c r="G533" s="984">
        <f t="shared" si="184"/>
        <v>11</v>
      </c>
      <c r="H533" s="980">
        <f t="shared" si="184"/>
        <v>5</v>
      </c>
      <c r="I533" s="1104">
        <f t="shared" si="184"/>
        <v>9</v>
      </c>
      <c r="J533" s="1290">
        <f t="shared" si="184"/>
        <v>13</v>
      </c>
      <c r="K533" s="1105">
        <f t="shared" si="184"/>
        <v>10</v>
      </c>
      <c r="L533" s="980">
        <f t="shared" si="184"/>
        <v>5</v>
      </c>
      <c r="M533" s="983">
        <f t="shared" si="184"/>
        <v>9</v>
      </c>
      <c r="N533" s="981"/>
      <c r="O533" s="981"/>
      <c r="P533" s="981"/>
      <c r="Q533" s="981"/>
      <c r="R533" s="981"/>
      <c r="S533" s="981"/>
      <c r="T533" s="981"/>
      <c r="U533" s="981"/>
      <c r="V533" s="981"/>
      <c r="W533" s="981"/>
      <c r="X533" s="981"/>
      <c r="Y533" s="981"/>
      <c r="Z533" s="981"/>
      <c r="AA533" s="981"/>
      <c r="AB533" s="984"/>
      <c r="AC533" s="985">
        <f>SUM(B533:AB533)</f>
        <v>106</v>
      </c>
    </row>
    <row r="534" spans="1:29">
      <c r="A534" s="971" t="s">
        <v>6</v>
      </c>
      <c r="B534" s="982">
        <f t="shared" si="184"/>
        <v>4</v>
      </c>
      <c r="C534" s="986">
        <f t="shared" si="184"/>
        <v>2</v>
      </c>
      <c r="D534" s="980">
        <f t="shared" si="184"/>
        <v>2</v>
      </c>
      <c r="E534" s="984">
        <f t="shared" si="184"/>
        <v>3</v>
      </c>
      <c r="F534" s="981">
        <f t="shared" si="184"/>
        <v>2</v>
      </c>
      <c r="G534" s="986">
        <f t="shared" si="184"/>
        <v>5</v>
      </c>
      <c r="H534" s="980">
        <f t="shared" si="184"/>
        <v>1</v>
      </c>
      <c r="I534" s="986">
        <f t="shared" si="184"/>
        <v>2</v>
      </c>
      <c r="J534" s="1289">
        <f t="shared" si="184"/>
        <v>7</v>
      </c>
      <c r="K534" s="986">
        <f t="shared" si="184"/>
        <v>2</v>
      </c>
      <c r="L534" s="982">
        <f t="shared" si="184"/>
        <v>1</v>
      </c>
      <c r="M534" s="983">
        <f t="shared" si="184"/>
        <v>3</v>
      </c>
      <c r="N534" s="981"/>
      <c r="O534" s="981"/>
      <c r="P534" s="981"/>
      <c r="Q534" s="981"/>
      <c r="R534" s="981"/>
      <c r="S534" s="981"/>
      <c r="T534" s="981"/>
      <c r="U534" s="981"/>
      <c r="V534" s="981"/>
      <c r="W534" s="981"/>
      <c r="X534" s="981"/>
      <c r="Y534" s="981"/>
      <c r="Z534" s="981"/>
      <c r="AA534" s="981"/>
      <c r="AB534" s="984"/>
      <c r="AC534" s="987">
        <f>SUM(B534:AB534)</f>
        <v>34</v>
      </c>
    </row>
    <row r="535" spans="1:29">
      <c r="A535" s="971" t="s">
        <v>12</v>
      </c>
      <c r="B535" s="988">
        <f>B534/B533</f>
        <v>0.30769230769230771</v>
      </c>
      <c r="C535" s="990">
        <f t="shared" ref="C535:M535" si="185">C534/C533</f>
        <v>0.2857142857142857</v>
      </c>
      <c r="D535" s="988">
        <f t="shared" si="185"/>
        <v>0.25</v>
      </c>
      <c r="E535" s="995">
        <f t="shared" si="185"/>
        <v>0.42857142857142855</v>
      </c>
      <c r="F535" s="1151">
        <f t="shared" si="185"/>
        <v>0.22222222222222221</v>
      </c>
      <c r="G535" s="990">
        <f t="shared" si="185"/>
        <v>0.45454545454545453</v>
      </c>
      <c r="H535" s="988">
        <f t="shared" si="185"/>
        <v>0.2</v>
      </c>
      <c r="I535" s="990">
        <f t="shared" si="185"/>
        <v>0.22222222222222221</v>
      </c>
      <c r="J535" s="1291">
        <f t="shared" si="185"/>
        <v>0.53846153846153844</v>
      </c>
      <c r="K535" s="990">
        <f t="shared" si="185"/>
        <v>0.2</v>
      </c>
      <c r="L535" s="991">
        <f t="shared" si="185"/>
        <v>0.2</v>
      </c>
      <c r="M535" s="994">
        <f t="shared" si="185"/>
        <v>0.33333333333333331</v>
      </c>
      <c r="N535" s="992"/>
      <c r="O535" s="992"/>
      <c r="P535" s="992"/>
      <c r="Q535" s="992"/>
      <c r="R535" s="992"/>
      <c r="S535" s="992"/>
      <c r="T535" s="992"/>
      <c r="U535" s="992"/>
      <c r="V535" s="992"/>
      <c r="W535" s="992"/>
      <c r="X535" s="992"/>
      <c r="Y535" s="992"/>
      <c r="Z535" s="992"/>
      <c r="AA535" s="992"/>
      <c r="AB535" s="995"/>
      <c r="AC535" s="996">
        <f>AC534/AC533</f>
        <v>0.32075471698113206</v>
      </c>
    </row>
    <row r="536" spans="1:29">
      <c r="A536" s="971" t="s">
        <v>5</v>
      </c>
      <c r="B536" s="997">
        <f t="shared" ref="B536:G536" si="186">(B544+B552+B560+B568)/4</f>
        <v>4.6458333333333339</v>
      </c>
      <c r="C536" s="998">
        <f t="shared" si="186"/>
        <v>2</v>
      </c>
      <c r="D536" s="999">
        <f t="shared" si="186"/>
        <v>1.25</v>
      </c>
      <c r="E536" s="1000">
        <f t="shared" si="186"/>
        <v>1.875</v>
      </c>
      <c r="F536" s="998">
        <f t="shared" si="186"/>
        <v>4.041666666666667</v>
      </c>
      <c r="G536" s="1001">
        <f t="shared" si="186"/>
        <v>0.99999999999999989</v>
      </c>
      <c r="H536" s="999">
        <f>(H544+H552+H560+H568)/4</f>
        <v>2.75</v>
      </c>
      <c r="I536" s="1107">
        <f t="shared" ref="I536:M536" si="187">(I544+I552+I560+I568)/4</f>
        <v>2.875</v>
      </c>
      <c r="J536" s="1292">
        <f t="shared" si="187"/>
        <v>0.31250000000000006</v>
      </c>
      <c r="K536" s="1108">
        <f t="shared" si="187"/>
        <v>4</v>
      </c>
      <c r="L536" s="999">
        <f t="shared" si="187"/>
        <v>1.125</v>
      </c>
      <c r="M536" s="1000">
        <f t="shared" si="187"/>
        <v>1.375</v>
      </c>
      <c r="N536" s="998"/>
      <c r="O536" s="998"/>
      <c r="P536" s="998"/>
      <c r="Q536" s="998"/>
      <c r="R536" s="998"/>
      <c r="S536" s="998"/>
      <c r="T536" s="998"/>
      <c r="U536" s="998"/>
      <c r="V536" s="998"/>
      <c r="W536" s="998"/>
      <c r="X536" s="998"/>
      <c r="Y536" s="998"/>
      <c r="Z536" s="998"/>
      <c r="AA536" s="998"/>
      <c r="AB536" s="1001"/>
      <c r="AC536" s="1002">
        <f>AC532/AC533</f>
        <v>3.5</v>
      </c>
    </row>
    <row r="537" spans="1:29">
      <c r="A537" s="1003" t="s">
        <v>8</v>
      </c>
      <c r="B537" s="1004">
        <f t="shared" ref="B537:G537" si="188">(B545+B553+B561+B569)/4</f>
        <v>5.9583333333333339</v>
      </c>
      <c r="C537" s="1005">
        <f t="shared" si="188"/>
        <v>3.25</v>
      </c>
      <c r="D537" s="1109">
        <f t="shared" si="188"/>
        <v>1.875</v>
      </c>
      <c r="E537" s="1006">
        <f t="shared" si="188"/>
        <v>3.25</v>
      </c>
      <c r="F537" s="1005">
        <f t="shared" si="188"/>
        <v>4.291666666666667</v>
      </c>
      <c r="G537" s="1110">
        <f t="shared" si="188"/>
        <v>2</v>
      </c>
      <c r="H537" s="1109">
        <f>(H545+H553+H561+H569)/4</f>
        <v>2.75</v>
      </c>
      <c r="I537" s="1111">
        <f t="shared" ref="I537:M537" si="189">(I545+I553+I561+I569)/4</f>
        <v>3.25</v>
      </c>
      <c r="J537" s="1293">
        <f t="shared" si="189"/>
        <v>1.875</v>
      </c>
      <c r="K537" s="1112">
        <f t="shared" si="189"/>
        <v>5.2916666666666661</v>
      </c>
      <c r="L537" s="1109">
        <f t="shared" si="189"/>
        <v>1.125</v>
      </c>
      <c r="M537" s="1006">
        <f t="shared" si="189"/>
        <v>1.75</v>
      </c>
      <c r="N537" s="1005"/>
      <c r="O537" s="1005"/>
      <c r="P537" s="1005"/>
      <c r="Q537" s="1005"/>
      <c r="R537" s="1005"/>
      <c r="S537" s="1005"/>
      <c r="T537" s="1005"/>
      <c r="U537" s="1005"/>
      <c r="V537" s="1005"/>
      <c r="W537" s="1005"/>
      <c r="X537" s="1005"/>
      <c r="Y537" s="1005"/>
      <c r="Z537" s="1005"/>
      <c r="AA537" s="1005"/>
      <c r="AB537" s="1110"/>
      <c r="AC537" s="1007">
        <f>AC532/(AC533-AC534)</f>
        <v>5.1527777777777777</v>
      </c>
    </row>
    <row r="538" spans="1:29" ht="3" customHeight="1">
      <c r="E538" s="582"/>
      <c r="F538" s="582"/>
      <c r="G538" s="582"/>
      <c r="H538" s="582"/>
      <c r="I538" s="582"/>
      <c r="J538" s="582"/>
      <c r="K538" s="582"/>
      <c r="L538" s="582"/>
      <c r="M538" s="1025"/>
      <c r="N538" s="582"/>
      <c r="O538" s="582"/>
      <c r="P538" s="582"/>
      <c r="Q538" s="582"/>
      <c r="R538" s="582"/>
      <c r="S538" s="582"/>
      <c r="T538" s="582"/>
      <c r="U538" s="582"/>
      <c r="V538" s="582"/>
      <c r="W538" s="582"/>
      <c r="X538" s="582"/>
      <c r="Y538" s="582"/>
      <c r="Z538" s="582"/>
      <c r="AA538" s="582"/>
    </row>
    <row r="539" spans="1:29" hidden="1" outlineLevel="1">
      <c r="A539" s="1178" t="s">
        <v>150</v>
      </c>
      <c r="B539" s="1147"/>
      <c r="C539" s="1146"/>
      <c r="D539" s="1147"/>
      <c r="E539" s="1149"/>
      <c r="F539" s="1146"/>
      <c r="G539" s="1149"/>
      <c r="H539" s="1147"/>
      <c r="I539" s="1149"/>
      <c r="J539" s="1147"/>
      <c r="K539" s="1149"/>
      <c r="L539" s="1147"/>
      <c r="M539" s="1149"/>
      <c r="N539" s="1146"/>
      <c r="O539" s="1146"/>
      <c r="P539" s="1146"/>
      <c r="Q539" s="1146"/>
      <c r="R539" s="1146"/>
      <c r="S539" s="1146"/>
      <c r="T539" s="1146"/>
      <c r="U539" s="1146"/>
      <c r="V539" s="1146"/>
      <c r="W539" s="1146"/>
      <c r="X539" s="1146"/>
      <c r="Y539" s="1146"/>
      <c r="Z539" s="1146"/>
      <c r="AA539" s="1146"/>
      <c r="AB539" s="1149"/>
      <c r="AC539" s="1178"/>
    </row>
    <row r="540" spans="1:29" hidden="1" outlineLevel="1">
      <c r="A540" s="971" t="s">
        <v>3</v>
      </c>
      <c r="B540" s="1027">
        <f>'Gruppe A'!AP148</f>
        <v>21</v>
      </c>
      <c r="C540" s="113">
        <f>'Gruppe A'!CJ79</f>
        <v>6</v>
      </c>
      <c r="D540" s="1028"/>
      <c r="E540" s="1029"/>
      <c r="F540" s="875">
        <f>'Gruppe A'!BC148</f>
        <v>23</v>
      </c>
      <c r="G540" s="113">
        <f>'Gruppe A'!CJ102</f>
        <v>8</v>
      </c>
      <c r="H540" s="1027">
        <f>'Gruppe A'!CM14</f>
        <v>6</v>
      </c>
      <c r="I540" s="875">
        <f>'Gruppe A'!F148</f>
        <v>14</v>
      </c>
      <c r="J540" s="1294">
        <f>'Gruppe A'!BP148</f>
        <v>-15</v>
      </c>
      <c r="K540" s="1079">
        <f>'Gruppe A'!CJ124</f>
        <v>19</v>
      </c>
      <c r="L540" s="1027">
        <f>'Gruppe A'!CJ35</f>
        <v>9</v>
      </c>
      <c r="M540" s="1031">
        <f>'Gruppe A'!P148</f>
        <v>9</v>
      </c>
      <c r="N540" s="1079"/>
      <c r="O540" s="1079"/>
      <c r="P540" s="1079"/>
      <c r="Q540" s="1079"/>
      <c r="R540" s="1079"/>
      <c r="S540" s="1079"/>
      <c r="T540" s="1079"/>
      <c r="U540" s="1079"/>
      <c r="V540" s="1079"/>
      <c r="W540" s="1079"/>
      <c r="X540" s="1079"/>
      <c r="Y540" s="1079"/>
      <c r="Z540" s="1079"/>
      <c r="AA540" s="1079"/>
      <c r="AB540" s="1030"/>
      <c r="AC540" s="979">
        <f>SUM(B540:AB540)</f>
        <v>100</v>
      </c>
    </row>
    <row r="541" spans="1:29" hidden="1" outlineLevel="1">
      <c r="A541" s="971" t="s">
        <v>4</v>
      </c>
      <c r="B541" s="1028">
        <f>'Gruppe A'!AP149</f>
        <v>4</v>
      </c>
      <c r="C541" s="1079">
        <f>'Gruppe A'!CJ80</f>
        <v>2</v>
      </c>
      <c r="D541" s="1028"/>
      <c r="E541" s="1031"/>
      <c r="F541" s="1079">
        <f>'Gruppe A'!BC149</f>
        <v>3</v>
      </c>
      <c r="G541" s="1030">
        <f>'Gruppe A'!CJ103</f>
        <v>3</v>
      </c>
      <c r="H541" s="1028">
        <f>'Gruppe A'!CM15</f>
        <v>1</v>
      </c>
      <c r="I541" s="1029">
        <f>'Gruppe A'!F149</f>
        <v>2</v>
      </c>
      <c r="J541" s="1027">
        <f>'Gruppe A'!BP149</f>
        <v>4</v>
      </c>
      <c r="K541" s="113">
        <f>'Gruppe A'!CJ125</f>
        <v>3</v>
      </c>
      <c r="L541" s="1028">
        <f>'Gruppe A'!CJ36</f>
        <v>2</v>
      </c>
      <c r="M541" s="1031">
        <f>'Gruppe A'!P149</f>
        <v>3</v>
      </c>
      <c r="N541" s="1079"/>
      <c r="O541" s="1079"/>
      <c r="P541" s="1079"/>
      <c r="Q541" s="1079"/>
      <c r="R541" s="1079"/>
      <c r="S541" s="1079"/>
      <c r="T541" s="1079"/>
      <c r="U541" s="1079"/>
      <c r="V541" s="1079"/>
      <c r="W541" s="1079"/>
      <c r="X541" s="1079"/>
      <c r="Y541" s="1079"/>
      <c r="Z541" s="1079"/>
      <c r="AA541" s="1079"/>
      <c r="AB541" s="1030"/>
      <c r="AC541" s="985">
        <f>SUM(B541:AB541)</f>
        <v>27</v>
      </c>
    </row>
    <row r="542" spans="1:29" hidden="1" outlineLevel="1">
      <c r="A542" s="971" t="s">
        <v>6</v>
      </c>
      <c r="B542" s="1028">
        <f>'Gruppe A'!AP150</f>
        <v>2</v>
      </c>
      <c r="C542" s="973">
        <f>'Gruppe A'!CJ81</f>
        <v>0</v>
      </c>
      <c r="D542" s="1028"/>
      <c r="E542" s="1030"/>
      <c r="F542" s="973">
        <f>'Gruppe A'!BC150</f>
        <v>0</v>
      </c>
      <c r="G542" s="113">
        <f>'Gruppe A'!CJ104</f>
        <v>1</v>
      </c>
      <c r="H542" s="972">
        <f>'Gruppe A'!CM16</f>
        <v>0</v>
      </c>
      <c r="I542" s="973">
        <f>'Gruppe A'!F150</f>
        <v>0</v>
      </c>
      <c r="J542" s="972">
        <f>'Gruppe A'!BP150</f>
        <v>1</v>
      </c>
      <c r="K542" s="115">
        <f>'Gruppe A'!CJ126</f>
        <v>1</v>
      </c>
      <c r="L542" s="972">
        <f>'Gruppe A'!CJ37</f>
        <v>0</v>
      </c>
      <c r="M542" s="1031">
        <f>'Gruppe A'!P150</f>
        <v>1</v>
      </c>
      <c r="N542" s="1079"/>
      <c r="O542" s="1079"/>
      <c r="P542" s="1079"/>
      <c r="Q542" s="1079"/>
      <c r="R542" s="1079"/>
      <c r="S542" s="1079"/>
      <c r="T542" s="1079"/>
      <c r="U542" s="1079"/>
      <c r="V542" s="1079"/>
      <c r="W542" s="1079"/>
      <c r="X542" s="1079"/>
      <c r="Y542" s="1079"/>
      <c r="Z542" s="1079"/>
      <c r="AA542" s="1079"/>
      <c r="AB542" s="1030"/>
      <c r="AC542" s="987">
        <f>SUM(B542:AB542)</f>
        <v>6</v>
      </c>
    </row>
    <row r="543" spans="1:29" hidden="1" outlineLevel="1">
      <c r="A543" s="971" t="s">
        <v>12</v>
      </c>
      <c r="B543" s="1039">
        <f>'Gruppe A'!AP151</f>
        <v>0.5</v>
      </c>
      <c r="C543" s="989">
        <f>'Gruppe A'!CJ82</f>
        <v>0</v>
      </c>
      <c r="D543" s="1039"/>
      <c r="E543" s="1086"/>
      <c r="F543" s="989">
        <f>'Gruppe A'!BC151</f>
        <v>0</v>
      </c>
      <c r="G543" s="1084">
        <f>'Gruppe A'!CJ105</f>
        <v>0.33333333333333331</v>
      </c>
      <c r="H543" s="1043">
        <f>'Gruppe A'!CM17</f>
        <v>0</v>
      </c>
      <c r="I543" s="989">
        <f>'Gruppe A'!F151</f>
        <v>0</v>
      </c>
      <c r="J543" s="1043">
        <f>'Gruppe A'!BP151</f>
        <v>0.25</v>
      </c>
      <c r="K543" s="1082">
        <f>'Gruppe A'!CJ127</f>
        <v>0.33333333333333331</v>
      </c>
      <c r="L543" s="1043">
        <f>'Gruppe A'!CJ38</f>
        <v>0</v>
      </c>
      <c r="M543" s="1085">
        <f>'Gruppe A'!P151</f>
        <v>0.33333333333333331</v>
      </c>
      <c r="N543" s="1084"/>
      <c r="O543" s="1084"/>
      <c r="P543" s="1084"/>
      <c r="Q543" s="1084"/>
      <c r="R543" s="1084"/>
      <c r="S543" s="1084"/>
      <c r="T543" s="1084"/>
      <c r="U543" s="1084"/>
      <c r="V543" s="1084"/>
      <c r="W543" s="1084"/>
      <c r="X543" s="1084"/>
      <c r="Y543" s="1084"/>
      <c r="Z543" s="1084"/>
      <c r="AA543" s="1084"/>
      <c r="AB543" s="1086"/>
      <c r="AC543" s="996">
        <f>AC542/AC541</f>
        <v>0.22222222222222221</v>
      </c>
    </row>
    <row r="544" spans="1:29" hidden="1" outlineLevel="1">
      <c r="A544" s="971" t="s">
        <v>5</v>
      </c>
      <c r="B544" s="1045">
        <f>'Gruppe A'!AP152</f>
        <v>5.25</v>
      </c>
      <c r="C544" s="1088">
        <f>'Gruppe A'!CJ83</f>
        <v>3</v>
      </c>
      <c r="D544" s="1047"/>
      <c r="E544" s="1050"/>
      <c r="F544" s="1088">
        <f>'Gruppe A'!BC152</f>
        <v>7.666666666666667</v>
      </c>
      <c r="G544" s="1049">
        <f>'Gruppe A'!CJ106</f>
        <v>2.6666666666666665</v>
      </c>
      <c r="H544" s="1047">
        <f>'Gruppe A'!CM18</f>
        <v>6</v>
      </c>
      <c r="I544" s="1048">
        <f>'Gruppe A'!F152</f>
        <v>7</v>
      </c>
      <c r="J544" s="1045">
        <f>'Gruppe A'!BP152</f>
        <v>-3.75</v>
      </c>
      <c r="K544" s="1046">
        <f>'Gruppe A'!CJ128</f>
        <v>6.333333333333333</v>
      </c>
      <c r="L544" s="1047">
        <f>'Gruppe A'!CJ39</f>
        <v>4.5</v>
      </c>
      <c r="M544" s="1050">
        <f>'Gruppe A'!P152</f>
        <v>3</v>
      </c>
      <c r="N544" s="1088"/>
      <c r="O544" s="1088"/>
      <c r="P544" s="1088"/>
      <c r="Q544" s="1088"/>
      <c r="R544" s="1088"/>
      <c r="S544" s="1088"/>
      <c r="T544" s="1088"/>
      <c r="U544" s="1088"/>
      <c r="V544" s="1088"/>
      <c r="W544" s="1088"/>
      <c r="X544" s="1088"/>
      <c r="Y544" s="1088"/>
      <c r="Z544" s="1088"/>
      <c r="AA544" s="1088"/>
      <c r="AB544" s="1049"/>
      <c r="AC544" s="1002">
        <f>AC540/AC541</f>
        <v>3.7037037037037037</v>
      </c>
    </row>
    <row r="545" spans="1:29" hidden="1" outlineLevel="1">
      <c r="A545" s="1003" t="s">
        <v>8</v>
      </c>
      <c r="B545" s="1053">
        <f>'Gruppe A'!AP153</f>
        <v>10.5</v>
      </c>
      <c r="C545" s="1091">
        <f>'Gruppe A'!CJ84</f>
        <v>3</v>
      </c>
      <c r="D545" s="1055"/>
      <c r="E545" s="1058"/>
      <c r="F545" s="1091">
        <f>'Gruppe A'!BC153</f>
        <v>7.666666666666667</v>
      </c>
      <c r="G545" s="1057">
        <f>'Gruppe A'!CJ107</f>
        <v>4</v>
      </c>
      <c r="H545" s="1055">
        <f>'Gruppe A'!CM19</f>
        <v>6</v>
      </c>
      <c r="I545" s="1056">
        <f>'Gruppe A'!F153</f>
        <v>7</v>
      </c>
      <c r="J545" s="1053">
        <f>'Gruppe A'!BP153</f>
        <v>-5</v>
      </c>
      <c r="K545" s="1054">
        <f>'Gruppe A'!CJ129</f>
        <v>9.5</v>
      </c>
      <c r="L545" s="1055">
        <f>'Gruppe A'!CJ40</f>
        <v>4.5</v>
      </c>
      <c r="M545" s="1058">
        <f>'Gruppe A'!P153</f>
        <v>4.5</v>
      </c>
      <c r="N545" s="1091"/>
      <c r="O545" s="1091"/>
      <c r="P545" s="1091"/>
      <c r="Q545" s="1091"/>
      <c r="R545" s="1091"/>
      <c r="S545" s="1091"/>
      <c r="T545" s="1091"/>
      <c r="U545" s="1091"/>
      <c r="V545" s="1091"/>
      <c r="W545" s="1091"/>
      <c r="X545" s="1091"/>
      <c r="Y545" s="1091"/>
      <c r="Z545" s="1091"/>
      <c r="AA545" s="1091"/>
      <c r="AB545" s="1057"/>
      <c r="AC545" s="1007">
        <f>AC540/(AC541-AC542)</f>
        <v>4.7619047619047619</v>
      </c>
    </row>
    <row r="546" spans="1:29" ht="3" hidden="1" customHeight="1" outlineLevel="1">
      <c r="B546" s="582"/>
      <c r="C546" s="582"/>
      <c r="D546" s="582"/>
      <c r="E546" s="582"/>
      <c r="F546" s="582"/>
      <c r="G546" s="582"/>
      <c r="H546" s="582"/>
      <c r="I546" s="582"/>
      <c r="J546" s="582"/>
      <c r="K546" s="582"/>
      <c r="L546" s="582"/>
      <c r="M546" s="1025"/>
      <c r="N546" s="582"/>
      <c r="O546" s="582"/>
      <c r="P546" s="582"/>
      <c r="Q546" s="582"/>
      <c r="R546" s="582"/>
      <c r="S546" s="582"/>
      <c r="T546" s="582"/>
      <c r="U546" s="582"/>
      <c r="V546" s="582"/>
      <c r="W546" s="582"/>
      <c r="X546" s="582"/>
      <c r="Y546" s="582"/>
      <c r="Z546" s="582"/>
      <c r="AA546" s="582"/>
      <c r="AB546" s="582"/>
    </row>
    <row r="547" spans="1:29" hidden="1" outlineLevel="1">
      <c r="A547" s="1178" t="s">
        <v>110</v>
      </c>
      <c r="B547" s="1242"/>
      <c r="C547" s="1243"/>
      <c r="D547" s="1021"/>
      <c r="E547" s="1023"/>
      <c r="F547" s="1022"/>
      <c r="G547" s="1023"/>
      <c r="H547" s="1021"/>
      <c r="I547" s="1023"/>
      <c r="J547" s="1021"/>
      <c r="K547" s="1023"/>
      <c r="L547" s="1021"/>
      <c r="M547" s="1023"/>
      <c r="N547" s="1022"/>
      <c r="O547" s="1022"/>
      <c r="P547" s="1022"/>
      <c r="Q547" s="1022"/>
      <c r="R547" s="1022"/>
      <c r="S547" s="1022"/>
      <c r="T547" s="1022"/>
      <c r="U547" s="1022"/>
      <c r="V547" s="1022"/>
      <c r="W547" s="1022"/>
      <c r="X547" s="1022"/>
      <c r="Y547" s="1022"/>
      <c r="Z547" s="1022"/>
      <c r="AA547" s="1022"/>
      <c r="AB547" s="1023"/>
      <c r="AC547" s="1178"/>
    </row>
    <row r="548" spans="1:29" hidden="1" outlineLevel="1">
      <c r="A548" s="971" t="s">
        <v>3</v>
      </c>
      <c r="B548" s="1027"/>
      <c r="C548" s="113"/>
      <c r="D548" s="1028">
        <f>'Gruppe A'!CK60</f>
        <v>5</v>
      </c>
      <c r="E548" s="1029">
        <f>'Gruppe A'!AD148</f>
        <v>4</v>
      </c>
      <c r="F548" s="113"/>
      <c r="G548" s="1031"/>
      <c r="H548" s="1027">
        <f>'Gruppe A'!CK14</f>
        <v>0</v>
      </c>
      <c r="I548" s="1029">
        <f>'Gruppe A'!D148</f>
        <v>6</v>
      </c>
      <c r="J548" s="1028">
        <f>'Gruppe A'!BQ148</f>
        <v>10</v>
      </c>
      <c r="K548" s="1079">
        <f>'Gruppe A'!CK124</f>
        <v>11</v>
      </c>
      <c r="L548" s="1027"/>
      <c r="M548" s="1031"/>
      <c r="N548" s="1079"/>
      <c r="O548" s="1079"/>
      <c r="P548" s="1079"/>
      <c r="Q548" s="1079"/>
      <c r="R548" s="1079"/>
      <c r="S548" s="1079"/>
      <c r="T548" s="1079"/>
      <c r="U548" s="1079"/>
      <c r="V548" s="1079"/>
      <c r="W548" s="1079"/>
      <c r="X548" s="1079"/>
      <c r="Y548" s="1079"/>
      <c r="Z548" s="1079"/>
      <c r="AA548" s="1079"/>
      <c r="AB548" s="1030"/>
      <c r="AC548" s="979">
        <f>SUM(B548:AB548)</f>
        <v>36</v>
      </c>
    </row>
    <row r="549" spans="1:29" hidden="1" outlineLevel="1">
      <c r="A549" s="971" t="s">
        <v>4</v>
      </c>
      <c r="B549" s="1028"/>
      <c r="C549" s="1079"/>
      <c r="D549" s="1028">
        <f>'Gruppe A'!CK61</f>
        <v>2</v>
      </c>
      <c r="E549" s="1031">
        <f>'Gruppe A'!AD149</f>
        <v>2</v>
      </c>
      <c r="F549" s="1079"/>
      <c r="G549" s="1030"/>
      <c r="H549" s="1028">
        <f>'Gruppe A'!CK15</f>
        <v>1</v>
      </c>
      <c r="I549" s="1029">
        <f>'Gruppe A'!D149</f>
        <v>2</v>
      </c>
      <c r="J549" s="1027">
        <f>'Gruppe A'!BQ149</f>
        <v>3</v>
      </c>
      <c r="K549" s="113">
        <f>'Gruppe A'!CK125</f>
        <v>3</v>
      </c>
      <c r="L549" s="1028"/>
      <c r="M549" s="1031"/>
      <c r="N549" s="1079"/>
      <c r="O549" s="1079"/>
      <c r="P549" s="1079"/>
      <c r="Q549" s="1079"/>
      <c r="R549" s="1079"/>
      <c r="S549" s="1079"/>
      <c r="T549" s="1079"/>
      <c r="U549" s="1079"/>
      <c r="V549" s="1079"/>
      <c r="W549" s="1079"/>
      <c r="X549" s="1079"/>
      <c r="Y549" s="1079"/>
      <c r="Z549" s="1079"/>
      <c r="AA549" s="1079"/>
      <c r="AB549" s="1030"/>
      <c r="AC549" s="985">
        <f>SUM(B549:AB549)</f>
        <v>13</v>
      </c>
    </row>
    <row r="550" spans="1:29" hidden="1" outlineLevel="1">
      <c r="A550" s="971" t="s">
        <v>6</v>
      </c>
      <c r="B550" s="1028"/>
      <c r="C550" s="113"/>
      <c r="D550" s="972">
        <f>'Gruppe A'!CK62</f>
        <v>0</v>
      </c>
      <c r="E550" s="978">
        <f>'Gruppe A'!AD150</f>
        <v>0</v>
      </c>
      <c r="F550" s="1079"/>
      <c r="G550" s="113"/>
      <c r="H550" s="1028">
        <f>'Gruppe A'!CK16</f>
        <v>1</v>
      </c>
      <c r="I550" s="973">
        <f>'Gruppe A'!D150</f>
        <v>0</v>
      </c>
      <c r="J550" s="1028">
        <f>'Gruppe A'!BQ150</f>
        <v>2</v>
      </c>
      <c r="K550" s="973">
        <f>'Gruppe A'!CK126</f>
        <v>0</v>
      </c>
      <c r="L550" s="1028"/>
      <c r="M550" s="1031"/>
      <c r="N550" s="1079"/>
      <c r="O550" s="1079"/>
      <c r="P550" s="1079"/>
      <c r="Q550" s="1079"/>
      <c r="R550" s="1079"/>
      <c r="S550" s="1079"/>
      <c r="T550" s="1079"/>
      <c r="U550" s="1079"/>
      <c r="V550" s="1079"/>
      <c r="W550" s="1079"/>
      <c r="X550" s="1079"/>
      <c r="Y550" s="1079"/>
      <c r="Z550" s="1079"/>
      <c r="AA550" s="1079"/>
      <c r="AB550" s="1030"/>
      <c r="AC550" s="987">
        <f>SUM(B550:AB550)</f>
        <v>3</v>
      </c>
    </row>
    <row r="551" spans="1:29" hidden="1" outlineLevel="1">
      <c r="A551" s="971" t="s">
        <v>12</v>
      </c>
      <c r="B551" s="1083"/>
      <c r="C551" s="1084"/>
      <c r="D551" s="1043">
        <f>'Gruppe A'!CK63</f>
        <v>0</v>
      </c>
      <c r="E551" s="1042">
        <f>'Gruppe A'!AD151</f>
        <v>0</v>
      </c>
      <c r="F551" s="1044"/>
      <c r="G551" s="1084"/>
      <c r="H551" s="1083">
        <f>'Gruppe A'!CK17</f>
        <v>1</v>
      </c>
      <c r="I551" s="989">
        <f>'Gruppe A'!D151</f>
        <v>0</v>
      </c>
      <c r="J551" s="1083">
        <f>'Gruppe A'!BQ151</f>
        <v>0.66666666666666663</v>
      </c>
      <c r="K551" s="989">
        <f>'Gruppe A'!CK127</f>
        <v>0</v>
      </c>
      <c r="L551" s="1083"/>
      <c r="M551" s="1085"/>
      <c r="N551" s="1084"/>
      <c r="O551" s="1084"/>
      <c r="P551" s="1084"/>
      <c r="Q551" s="1084"/>
      <c r="R551" s="1084"/>
      <c r="S551" s="1084"/>
      <c r="T551" s="1084"/>
      <c r="U551" s="1084"/>
      <c r="V551" s="1084"/>
      <c r="W551" s="1084"/>
      <c r="X551" s="1084"/>
      <c r="Y551" s="1084"/>
      <c r="Z551" s="1084"/>
      <c r="AA551" s="1084"/>
      <c r="AB551" s="1086"/>
      <c r="AC551" s="996">
        <f>AC550/AC549</f>
        <v>0.23076923076923078</v>
      </c>
    </row>
    <row r="552" spans="1:29" hidden="1" outlineLevel="1">
      <c r="A552" s="971" t="s">
        <v>5</v>
      </c>
      <c r="B552" s="1045"/>
      <c r="C552" s="1088"/>
      <c r="D552" s="1047">
        <f>'Gruppe A'!CK64</f>
        <v>2.5</v>
      </c>
      <c r="E552" s="1050">
        <f>'Gruppe A'!AD152</f>
        <v>2</v>
      </c>
      <c r="F552" s="1088"/>
      <c r="G552" s="1049"/>
      <c r="H552" s="1047">
        <f>'Gruppe A'!CK18</f>
        <v>0</v>
      </c>
      <c r="I552" s="1048">
        <f>'Gruppe A'!D152</f>
        <v>3</v>
      </c>
      <c r="J552" s="1045">
        <f>'Gruppe A'!BQ152</f>
        <v>3.3333333333333335</v>
      </c>
      <c r="K552" s="1046">
        <f>'Gruppe A'!CK128</f>
        <v>3.6666666666666665</v>
      </c>
      <c r="L552" s="1047"/>
      <c r="M552" s="1050"/>
      <c r="N552" s="1088"/>
      <c r="O552" s="1088"/>
      <c r="P552" s="1088"/>
      <c r="Q552" s="1088"/>
      <c r="R552" s="1088"/>
      <c r="S552" s="1088"/>
      <c r="T552" s="1088"/>
      <c r="U552" s="1088"/>
      <c r="V552" s="1088"/>
      <c r="W552" s="1088"/>
      <c r="X552" s="1088"/>
      <c r="Y552" s="1088"/>
      <c r="Z552" s="1088"/>
      <c r="AA552" s="1088"/>
      <c r="AB552" s="1049"/>
      <c r="AC552" s="1002">
        <f>AC548/AC549</f>
        <v>2.7692307692307692</v>
      </c>
    </row>
    <row r="553" spans="1:29" hidden="1" outlineLevel="1">
      <c r="A553" s="1003" t="s">
        <v>8</v>
      </c>
      <c r="B553" s="1053"/>
      <c r="C553" s="1091"/>
      <c r="D553" s="1055">
        <f>'Gruppe A'!CK65</f>
        <v>2.5</v>
      </c>
      <c r="E553" s="1058">
        <f>'Gruppe A'!AD153</f>
        <v>2</v>
      </c>
      <c r="F553" s="1091"/>
      <c r="G553" s="1057"/>
      <c r="H553" s="1055">
        <f>'Gruppe A'!CK19</f>
        <v>0</v>
      </c>
      <c r="I553" s="1056">
        <f>'Gruppe A'!D153</f>
        <v>3</v>
      </c>
      <c r="J553" s="1053">
        <f>'Gruppe A'!BQ153</f>
        <v>10</v>
      </c>
      <c r="K553" s="1054">
        <f>'Gruppe A'!CK129</f>
        <v>3.6666666666666665</v>
      </c>
      <c r="L553" s="1055"/>
      <c r="M553" s="1058"/>
      <c r="N553" s="1091"/>
      <c r="O553" s="1091"/>
      <c r="P553" s="1091"/>
      <c r="Q553" s="1091"/>
      <c r="R553" s="1091"/>
      <c r="S553" s="1091"/>
      <c r="T553" s="1091"/>
      <c r="U553" s="1091"/>
      <c r="V553" s="1091"/>
      <c r="W553" s="1091"/>
      <c r="X553" s="1091"/>
      <c r="Y553" s="1091"/>
      <c r="Z553" s="1091"/>
      <c r="AA553" s="1091"/>
      <c r="AB553" s="1057"/>
      <c r="AC553" s="1007">
        <f>AC548/(AC549-AC550)</f>
        <v>3.6</v>
      </c>
    </row>
    <row r="554" spans="1:29" ht="3" hidden="1" customHeight="1" outlineLevel="1">
      <c r="B554" s="582"/>
      <c r="C554" s="582"/>
      <c r="D554" s="582"/>
      <c r="E554" s="582"/>
      <c r="F554" s="582"/>
      <c r="G554" s="582"/>
      <c r="H554" s="582"/>
      <c r="I554" s="582"/>
      <c r="J554" s="582"/>
      <c r="K554" s="582"/>
      <c r="L554" s="582"/>
      <c r="M554" s="1025"/>
      <c r="N554" s="582"/>
      <c r="O554" s="582"/>
      <c r="P554" s="582"/>
      <c r="Q554" s="582"/>
      <c r="R554" s="582"/>
      <c r="S554" s="582"/>
      <c r="T554" s="582"/>
      <c r="U554" s="582"/>
      <c r="V554" s="582"/>
      <c r="W554" s="582"/>
      <c r="X554" s="582"/>
      <c r="Y554" s="582"/>
      <c r="Z554" s="582"/>
      <c r="AA554" s="582"/>
      <c r="AB554" s="582"/>
    </row>
    <row r="555" spans="1:29" hidden="1" outlineLevel="1">
      <c r="A555" s="1178" t="s">
        <v>111</v>
      </c>
      <c r="B555" s="1021"/>
      <c r="C555" s="1022"/>
      <c r="D555" s="1021"/>
      <c r="E555" s="1023"/>
      <c r="F555" s="1022"/>
      <c r="G555" s="1023"/>
      <c r="H555" s="1021"/>
      <c r="I555" s="1023"/>
      <c r="J555" s="1021"/>
      <c r="K555" s="1023"/>
      <c r="L555" s="1021"/>
      <c r="M555" s="1023"/>
      <c r="N555" s="1022"/>
      <c r="O555" s="1022"/>
      <c r="P555" s="1022"/>
      <c r="Q555" s="1022"/>
      <c r="R555" s="1022"/>
      <c r="S555" s="1022"/>
      <c r="T555" s="1022"/>
      <c r="U555" s="1022"/>
      <c r="V555" s="1022"/>
      <c r="W555" s="1022"/>
      <c r="X555" s="1022"/>
      <c r="Y555" s="1022"/>
      <c r="Z555" s="1022"/>
      <c r="AA555" s="1022"/>
      <c r="AB555" s="1023"/>
      <c r="AC555" s="1178"/>
    </row>
    <row r="556" spans="1:29" hidden="1" outlineLevel="1">
      <c r="A556" s="971" t="s">
        <v>3</v>
      </c>
      <c r="B556" s="1027">
        <f>'Gruppe A'!AR148</f>
        <v>6</v>
      </c>
      <c r="C556" s="113">
        <f>'Gruppe A'!CL79</f>
        <v>10</v>
      </c>
      <c r="D556" s="1028">
        <f>'Gruppe A'!CL60</f>
        <v>5</v>
      </c>
      <c r="E556" s="1029">
        <f>'Gruppe A'!AE148</f>
        <v>11</v>
      </c>
      <c r="F556" s="113">
        <f>'Gruppe A'!BD148</f>
        <v>2</v>
      </c>
      <c r="G556" s="1031">
        <f>'Gruppe A'!CK102</f>
        <v>2</v>
      </c>
      <c r="H556" s="1027">
        <f>'Gruppe A'!CL14</f>
        <v>5</v>
      </c>
      <c r="I556" s="1029">
        <f>'Gruppe A'!E148</f>
        <v>3</v>
      </c>
      <c r="J556" s="1028">
        <f>'Gruppe A'!BR148</f>
        <v>0</v>
      </c>
      <c r="K556" s="1079">
        <f>'Gruppe A'!CL124</f>
        <v>4</v>
      </c>
      <c r="L556" s="1027">
        <f>'Gruppe A'!CM35</f>
        <v>0</v>
      </c>
      <c r="M556" s="1031">
        <f>'Gruppe A'!S148</f>
        <v>5</v>
      </c>
      <c r="N556" s="1079"/>
      <c r="O556" s="1079"/>
      <c r="P556" s="1079"/>
      <c r="Q556" s="1079"/>
      <c r="R556" s="1079"/>
      <c r="S556" s="1079"/>
      <c r="T556" s="1079"/>
      <c r="U556" s="1079"/>
      <c r="V556" s="1079"/>
      <c r="W556" s="1079"/>
      <c r="X556" s="1079"/>
      <c r="Y556" s="1079"/>
      <c r="Z556" s="1079"/>
      <c r="AA556" s="1079"/>
      <c r="AB556" s="1030"/>
      <c r="AC556" s="979">
        <f>SUM(B556:AB556)</f>
        <v>53</v>
      </c>
    </row>
    <row r="557" spans="1:29" hidden="1" outlineLevel="1">
      <c r="A557" s="971" t="s">
        <v>4</v>
      </c>
      <c r="B557" s="1028">
        <f>'Gruppe A'!AR149</f>
        <v>3</v>
      </c>
      <c r="C557" s="1079">
        <f>'Gruppe A'!CL80</f>
        <v>2</v>
      </c>
      <c r="D557" s="1028">
        <f>'Gruppe A'!CL61</f>
        <v>2</v>
      </c>
      <c r="E557" s="1031">
        <f>'Gruppe A'!AE149</f>
        <v>2</v>
      </c>
      <c r="F557" s="1079">
        <f>'Gruppe A'!BD149</f>
        <v>2</v>
      </c>
      <c r="G557" s="1030">
        <f>'Gruppe A'!CK103</f>
        <v>3</v>
      </c>
      <c r="H557" s="1028">
        <f>'Gruppe A'!CL15</f>
        <v>1</v>
      </c>
      <c r="I557" s="1029">
        <f>'Gruppe A'!E149</f>
        <v>2</v>
      </c>
      <c r="J557" s="1027">
        <f>'Gruppe A'!BR149</f>
        <v>3</v>
      </c>
      <c r="K557" s="113">
        <f>'Gruppe A'!CL125</f>
        <v>2</v>
      </c>
      <c r="L557" s="1028">
        <f>'Gruppe A'!CM36</f>
        <v>1</v>
      </c>
      <c r="M557" s="1031">
        <f>'Gruppe A'!S149</f>
        <v>2</v>
      </c>
      <c r="N557" s="1079"/>
      <c r="O557" s="1079"/>
      <c r="P557" s="1079"/>
      <c r="Q557" s="1079"/>
      <c r="R557" s="1079"/>
      <c r="S557" s="1079"/>
      <c r="T557" s="1079"/>
      <c r="U557" s="1079"/>
      <c r="V557" s="1079"/>
      <c r="W557" s="1079"/>
      <c r="X557" s="1079"/>
      <c r="Y557" s="1079"/>
      <c r="Z557" s="1079"/>
      <c r="AA557" s="1079"/>
      <c r="AB557" s="1030"/>
      <c r="AC557" s="985">
        <f>SUM(B557:AB557)</f>
        <v>25</v>
      </c>
    </row>
    <row r="558" spans="1:29" hidden="1" outlineLevel="1">
      <c r="A558" s="971" t="s">
        <v>6</v>
      </c>
      <c r="B558" s="972">
        <f>'Gruppe A'!AR150</f>
        <v>0</v>
      </c>
      <c r="C558" s="113">
        <f>'Gruppe A'!CL81</f>
        <v>1</v>
      </c>
      <c r="D558" s="1028">
        <f>'Gruppe A'!CL62</f>
        <v>1</v>
      </c>
      <c r="E558" s="1030">
        <f>'Gruppe A'!AE150</f>
        <v>1</v>
      </c>
      <c r="F558" s="113">
        <f>'Gruppe A'!BD150</f>
        <v>1</v>
      </c>
      <c r="G558" s="113">
        <f>'Gruppe A'!CK104</f>
        <v>2</v>
      </c>
      <c r="H558" s="972">
        <f>'Gruppe A'!CL16</f>
        <v>0</v>
      </c>
      <c r="I558" s="115">
        <f>'Gruppe A'!E150</f>
        <v>1</v>
      </c>
      <c r="J558" s="1028">
        <f>'Gruppe A'!BR150</f>
        <v>3</v>
      </c>
      <c r="K558" s="113">
        <f>'Gruppe A'!CL126</f>
        <v>1</v>
      </c>
      <c r="L558" s="1027">
        <f>'Gruppe A'!CM37</f>
        <v>1</v>
      </c>
      <c r="M558" s="978">
        <f>'Gruppe A'!S150</f>
        <v>0</v>
      </c>
      <c r="N558" s="113"/>
      <c r="O558" s="113"/>
      <c r="P558" s="113"/>
      <c r="Q558" s="113"/>
      <c r="R558" s="113"/>
      <c r="S558" s="113"/>
      <c r="T558" s="113"/>
      <c r="U558" s="113"/>
      <c r="V558" s="113"/>
      <c r="W558" s="113"/>
      <c r="X558" s="113"/>
      <c r="Y558" s="113"/>
      <c r="Z558" s="113"/>
      <c r="AA558" s="113"/>
      <c r="AB558" s="1030"/>
      <c r="AC558" s="987">
        <f>SUM(B558:AB558)</f>
        <v>12</v>
      </c>
    </row>
    <row r="559" spans="1:29" hidden="1" outlineLevel="1">
      <c r="A559" s="971" t="s">
        <v>12</v>
      </c>
      <c r="B559" s="1043">
        <f>'Gruppe A'!AR151</f>
        <v>0</v>
      </c>
      <c r="C559" s="1084">
        <f>'Gruppe A'!CL82</f>
        <v>0.5</v>
      </c>
      <c r="D559" s="1083">
        <f>'Gruppe A'!CL63</f>
        <v>0.5</v>
      </c>
      <c r="E559" s="1086">
        <f>'Gruppe A'!AE151</f>
        <v>0.5</v>
      </c>
      <c r="F559" s="1084">
        <f>'Gruppe A'!BD151</f>
        <v>0.5</v>
      </c>
      <c r="G559" s="1084">
        <f>'Gruppe A'!CK105</f>
        <v>0.66666666666666663</v>
      </c>
      <c r="H559" s="1043">
        <f>'Gruppe A'!CL17</f>
        <v>0</v>
      </c>
      <c r="I559" s="1082">
        <f>'Gruppe A'!E151</f>
        <v>0.5</v>
      </c>
      <c r="J559" s="1039">
        <f>'Gruppe A'!BR151</f>
        <v>1</v>
      </c>
      <c r="K559" s="1084">
        <f>'Gruppe A'!CL127</f>
        <v>0.5</v>
      </c>
      <c r="L559" s="1240">
        <f>'Gruppe A'!CM38</f>
        <v>1</v>
      </c>
      <c r="M559" s="1042">
        <f>'Gruppe A'!S151</f>
        <v>0</v>
      </c>
      <c r="N559" s="1084"/>
      <c r="O559" s="1084"/>
      <c r="P559" s="1084"/>
      <c r="Q559" s="1084"/>
      <c r="R559" s="1084"/>
      <c r="S559" s="1084"/>
      <c r="T559" s="1084"/>
      <c r="U559" s="1084"/>
      <c r="V559" s="1084"/>
      <c r="W559" s="1084"/>
      <c r="X559" s="1084"/>
      <c r="Y559" s="1084"/>
      <c r="Z559" s="1084"/>
      <c r="AA559" s="1084"/>
      <c r="AB559" s="1086"/>
      <c r="AC559" s="996">
        <f>AC558/AC557</f>
        <v>0.48</v>
      </c>
    </row>
    <row r="560" spans="1:29" hidden="1" outlineLevel="1">
      <c r="A560" s="971" t="s">
        <v>5</v>
      </c>
      <c r="B560" s="1045">
        <f>'Gruppe A'!AR152</f>
        <v>2</v>
      </c>
      <c r="C560" s="1088">
        <f>'Gruppe A'!CL83</f>
        <v>5</v>
      </c>
      <c r="D560" s="1047">
        <f>'Gruppe A'!CL64</f>
        <v>2.5</v>
      </c>
      <c r="E560" s="1050">
        <f>'Gruppe A'!AE152</f>
        <v>5.5</v>
      </c>
      <c r="F560" s="1088">
        <f>'Gruppe A'!BD152</f>
        <v>1</v>
      </c>
      <c r="G560" s="1049">
        <f>'Gruppe A'!CK106</f>
        <v>0.66666666666666663</v>
      </c>
      <c r="H560" s="1047">
        <f>'Gruppe A'!CL18</f>
        <v>5</v>
      </c>
      <c r="I560" s="1048">
        <f>'Gruppe A'!E152</f>
        <v>1.5</v>
      </c>
      <c r="J560" s="1045">
        <f>'Gruppe A'!BR152</f>
        <v>0</v>
      </c>
      <c r="K560" s="1046">
        <f>'Gruppe A'!CL128</f>
        <v>2</v>
      </c>
      <c r="L560" s="1047">
        <f>'Gruppe A'!CM39</f>
        <v>0</v>
      </c>
      <c r="M560" s="1050">
        <f>'Gruppe A'!S152</f>
        <v>2.5</v>
      </c>
      <c r="N560" s="1088"/>
      <c r="O560" s="1088"/>
      <c r="P560" s="1088"/>
      <c r="Q560" s="1088"/>
      <c r="R560" s="1088"/>
      <c r="S560" s="1088"/>
      <c r="T560" s="1088"/>
      <c r="U560" s="1088"/>
      <c r="V560" s="1088"/>
      <c r="W560" s="1088"/>
      <c r="X560" s="1088"/>
      <c r="Y560" s="1088"/>
      <c r="Z560" s="1088"/>
      <c r="AA560" s="1088"/>
      <c r="AB560" s="1049"/>
      <c r="AC560" s="1002">
        <f>AC556/AC557</f>
        <v>2.12</v>
      </c>
    </row>
    <row r="561" spans="1:29" hidden="1" outlineLevel="1">
      <c r="A561" s="1003" t="s">
        <v>8</v>
      </c>
      <c r="B561" s="1053">
        <f>'Gruppe A'!AR153</f>
        <v>2</v>
      </c>
      <c r="C561" s="1091">
        <f>'Gruppe A'!CL84</f>
        <v>10</v>
      </c>
      <c r="D561" s="1055">
        <f>'Gruppe A'!CL65</f>
        <v>5</v>
      </c>
      <c r="E561" s="1058">
        <f>'Gruppe A'!AE153</f>
        <v>11</v>
      </c>
      <c r="F561" s="1091">
        <f>'Gruppe A'!BD153</f>
        <v>2</v>
      </c>
      <c r="G561" s="1057">
        <f>'Gruppe A'!CK107</f>
        <v>2</v>
      </c>
      <c r="H561" s="1055">
        <f>'Gruppe A'!CL19</f>
        <v>5</v>
      </c>
      <c r="I561" s="1056">
        <f>'Gruppe A'!E153</f>
        <v>3</v>
      </c>
      <c r="J561" s="1053">
        <f>'Gruppe A'!BR153</f>
        <v>0</v>
      </c>
      <c r="K561" s="1054">
        <f>'Gruppe A'!CL129</f>
        <v>4</v>
      </c>
      <c r="L561" s="1055">
        <f>'Gruppe A'!CM40</f>
        <v>0</v>
      </c>
      <c r="M561" s="1058">
        <f>'Gruppe A'!S153</f>
        <v>2.5</v>
      </c>
      <c r="N561" s="1091"/>
      <c r="O561" s="1091"/>
      <c r="P561" s="1091"/>
      <c r="Q561" s="1091"/>
      <c r="R561" s="1091"/>
      <c r="S561" s="1091"/>
      <c r="T561" s="1091"/>
      <c r="U561" s="1091"/>
      <c r="V561" s="1091"/>
      <c r="W561" s="1091"/>
      <c r="X561" s="1091"/>
      <c r="Y561" s="1091"/>
      <c r="Z561" s="1091"/>
      <c r="AA561" s="1091"/>
      <c r="AB561" s="1057"/>
      <c r="AC561" s="1007">
        <f>AC556/(AC557-AC558)</f>
        <v>4.0769230769230766</v>
      </c>
    </row>
    <row r="562" spans="1:29" ht="3" hidden="1" customHeight="1" outlineLevel="1">
      <c r="B562" s="582"/>
      <c r="C562" s="582"/>
      <c r="D562" s="582"/>
      <c r="E562" s="582"/>
      <c r="F562" s="582"/>
      <c r="G562" s="582"/>
      <c r="H562" s="582"/>
      <c r="I562" s="582"/>
      <c r="J562" s="582"/>
      <c r="K562" s="582"/>
      <c r="L562" s="582"/>
      <c r="M562" s="1025"/>
      <c r="N562" s="582"/>
      <c r="O562" s="582"/>
      <c r="P562" s="582"/>
      <c r="Q562" s="582"/>
      <c r="R562" s="582"/>
      <c r="S562" s="582"/>
      <c r="T562" s="582"/>
      <c r="U562" s="582"/>
      <c r="V562" s="582"/>
      <c r="W562" s="582"/>
      <c r="X562" s="582"/>
      <c r="Y562" s="582"/>
      <c r="Z562" s="582"/>
      <c r="AA562" s="582"/>
      <c r="AB562" s="582"/>
    </row>
    <row r="563" spans="1:29" hidden="1" outlineLevel="1">
      <c r="A563" s="1178" t="s">
        <v>151</v>
      </c>
      <c r="B563" s="1021"/>
      <c r="C563" s="1022"/>
      <c r="D563" s="1021"/>
      <c r="E563" s="1023"/>
      <c r="F563" s="1022"/>
      <c r="G563" s="1023"/>
      <c r="H563" s="1021"/>
      <c r="I563" s="1023"/>
      <c r="J563" s="1021"/>
      <c r="K563" s="1023"/>
      <c r="L563" s="1021"/>
      <c r="M563" s="1023"/>
      <c r="N563" s="1022"/>
      <c r="O563" s="1022"/>
      <c r="P563" s="1022"/>
      <c r="Q563" s="1022"/>
      <c r="R563" s="1022"/>
      <c r="S563" s="1022"/>
      <c r="T563" s="1022"/>
      <c r="U563" s="1022"/>
      <c r="V563" s="1022"/>
      <c r="W563" s="1022"/>
      <c r="X563" s="1022"/>
      <c r="Y563" s="1022"/>
      <c r="Z563" s="1022"/>
      <c r="AA563" s="1022"/>
      <c r="AB563" s="1023"/>
      <c r="AC563" s="1178"/>
    </row>
    <row r="564" spans="1:29" hidden="1" outlineLevel="1">
      <c r="A564" s="971" t="s">
        <v>3</v>
      </c>
      <c r="B564" s="1027">
        <f>'Gruppe A'!AS148</f>
        <v>34</v>
      </c>
      <c r="C564" s="113">
        <f>'Gruppe A'!CM79</f>
        <v>0</v>
      </c>
      <c r="D564" s="1028"/>
      <c r="E564" s="1029"/>
      <c r="F564" s="113">
        <f>'Gruppe A'!BE148</f>
        <v>15</v>
      </c>
      <c r="G564" s="1031">
        <f>'Gruppe A'!CL102</f>
        <v>2</v>
      </c>
      <c r="H564" s="1027"/>
      <c r="I564" s="1029"/>
      <c r="J564" s="1028">
        <f>'Gruppe A'!BS148</f>
        <v>5</v>
      </c>
      <c r="K564" s="1079">
        <f>'Gruppe A'!CM124</f>
        <v>8</v>
      </c>
      <c r="L564" s="1027"/>
      <c r="M564" s="1031"/>
      <c r="N564" s="1079"/>
      <c r="O564" s="1079"/>
      <c r="P564" s="1079"/>
      <c r="Q564" s="1079"/>
      <c r="R564" s="1079"/>
      <c r="S564" s="1079"/>
      <c r="T564" s="1079"/>
      <c r="U564" s="1079"/>
      <c r="V564" s="1079"/>
      <c r="W564" s="1079"/>
      <c r="X564" s="1079"/>
      <c r="Y564" s="1079"/>
      <c r="Z564" s="1079"/>
      <c r="AA564" s="1079"/>
      <c r="AB564" s="1030"/>
      <c r="AC564" s="979">
        <f>SUM(B564:AB564)</f>
        <v>64</v>
      </c>
    </row>
    <row r="565" spans="1:29" hidden="1" outlineLevel="1">
      <c r="A565" s="971" t="s">
        <v>4</v>
      </c>
      <c r="B565" s="1028">
        <f>'Gruppe A'!AS149</f>
        <v>3</v>
      </c>
      <c r="C565" s="1079">
        <f>'Gruppe A'!CM80</f>
        <v>1</v>
      </c>
      <c r="D565" s="1028"/>
      <c r="E565" s="1031"/>
      <c r="F565" s="1079">
        <f>'Gruppe A'!BE149</f>
        <v>2</v>
      </c>
      <c r="G565" s="1030">
        <f>'Gruppe A'!CL103</f>
        <v>3</v>
      </c>
      <c r="H565" s="1028"/>
      <c r="I565" s="1029"/>
      <c r="J565" s="1027">
        <f>'Gruppe A'!BS149</f>
        <v>3</v>
      </c>
      <c r="K565" s="113">
        <f>'Gruppe A'!CM125</f>
        <v>2</v>
      </c>
      <c r="L565" s="1028"/>
      <c r="M565" s="1031"/>
      <c r="N565" s="1079"/>
      <c r="O565" s="1079"/>
      <c r="P565" s="1079"/>
      <c r="Q565" s="1079"/>
      <c r="R565" s="1079"/>
      <c r="S565" s="1079"/>
      <c r="T565" s="1079"/>
      <c r="U565" s="1079"/>
      <c r="V565" s="1079"/>
      <c r="W565" s="1079"/>
      <c r="X565" s="1079"/>
      <c r="Y565" s="1079"/>
      <c r="Z565" s="1079"/>
      <c r="AA565" s="1079"/>
      <c r="AB565" s="1030"/>
      <c r="AC565" s="985">
        <f>SUM(B565:AB565)</f>
        <v>14</v>
      </c>
    </row>
    <row r="566" spans="1:29" hidden="1" outlineLevel="1">
      <c r="A566" s="971" t="s">
        <v>6</v>
      </c>
      <c r="B566" s="972">
        <f>'Gruppe A'!AS150</f>
        <v>0</v>
      </c>
      <c r="C566" s="115">
        <f>'Gruppe A'!CM81</f>
        <v>1</v>
      </c>
      <c r="D566" s="1028"/>
      <c r="E566" s="1030"/>
      <c r="F566" s="973">
        <f>'Gruppe A'!BE150</f>
        <v>0</v>
      </c>
      <c r="G566" s="115">
        <f>'Gruppe A'!CL104</f>
        <v>2</v>
      </c>
      <c r="H566" s="1028"/>
      <c r="I566" s="115"/>
      <c r="J566" s="1028">
        <f>'Gruppe A'!BS150</f>
        <v>1</v>
      </c>
      <c r="K566" s="973">
        <f>'Gruppe A'!CM126</f>
        <v>0</v>
      </c>
      <c r="L566" s="1028"/>
      <c r="M566" s="1029"/>
      <c r="N566" s="113"/>
      <c r="O566" s="113"/>
      <c r="P566" s="113"/>
      <c r="Q566" s="113"/>
      <c r="R566" s="113"/>
      <c r="S566" s="113"/>
      <c r="T566" s="113"/>
      <c r="U566" s="113"/>
      <c r="V566" s="113"/>
      <c r="W566" s="113"/>
      <c r="X566" s="113"/>
      <c r="Y566" s="113"/>
      <c r="Z566" s="113"/>
      <c r="AA566" s="113"/>
      <c r="AB566" s="1030"/>
      <c r="AC566" s="987">
        <f>SUM(B566:AB566)</f>
        <v>4</v>
      </c>
    </row>
    <row r="567" spans="1:29" hidden="1" outlineLevel="1">
      <c r="A567" s="971" t="s">
        <v>12</v>
      </c>
      <c r="B567" s="1043">
        <f>'Gruppe A'!AS151</f>
        <v>0</v>
      </c>
      <c r="C567" s="1082">
        <f>'Gruppe A'!CM82</f>
        <v>1</v>
      </c>
      <c r="D567" s="1083"/>
      <c r="E567" s="1086"/>
      <c r="F567" s="989">
        <f>'Gruppe A'!BE151</f>
        <v>0</v>
      </c>
      <c r="G567" s="1082">
        <f>'Gruppe A'!CL105</f>
        <v>0.66666666666666663</v>
      </c>
      <c r="H567" s="1039"/>
      <c r="I567" s="1082"/>
      <c r="J567" s="1039">
        <f>'Gruppe A'!BS151</f>
        <v>0.33333333333333331</v>
      </c>
      <c r="K567" s="989">
        <f>'Gruppe A'!CM127</f>
        <v>0</v>
      </c>
      <c r="L567" s="1083"/>
      <c r="M567" s="1085"/>
      <c r="N567" s="1084"/>
      <c r="O567" s="1084"/>
      <c r="P567" s="1084"/>
      <c r="Q567" s="1084"/>
      <c r="R567" s="1084"/>
      <c r="S567" s="1084"/>
      <c r="T567" s="1084"/>
      <c r="U567" s="1084"/>
      <c r="V567" s="1084"/>
      <c r="W567" s="1084"/>
      <c r="X567" s="1084"/>
      <c r="Y567" s="1084"/>
      <c r="Z567" s="1084"/>
      <c r="AA567" s="1084"/>
      <c r="AB567" s="1086"/>
      <c r="AC567" s="996">
        <f>AC566/AC565</f>
        <v>0.2857142857142857</v>
      </c>
    </row>
    <row r="568" spans="1:29" hidden="1" outlineLevel="1">
      <c r="A568" s="971" t="s">
        <v>5</v>
      </c>
      <c r="B568" s="1045">
        <f>'Gruppe A'!AS152</f>
        <v>11.333333333333334</v>
      </c>
      <c r="C568" s="1088">
        <f>'Gruppe A'!CM83</f>
        <v>0</v>
      </c>
      <c r="D568" s="1047"/>
      <c r="E568" s="1050"/>
      <c r="F568" s="1088">
        <f>'Gruppe A'!BE152</f>
        <v>7.5</v>
      </c>
      <c r="G568" s="1049">
        <f>'Gruppe A'!CL106</f>
        <v>0.66666666666666663</v>
      </c>
      <c r="H568" s="1047"/>
      <c r="I568" s="1048"/>
      <c r="J568" s="1045">
        <f>'Gruppe A'!BS152</f>
        <v>1.6666666666666667</v>
      </c>
      <c r="K568" s="1046">
        <f>'Gruppe A'!CM128</f>
        <v>4</v>
      </c>
      <c r="L568" s="1047"/>
      <c r="M568" s="1050"/>
      <c r="N568" s="1088"/>
      <c r="O568" s="1088"/>
      <c r="P568" s="1088"/>
      <c r="Q568" s="1088"/>
      <c r="R568" s="1088"/>
      <c r="S568" s="1088"/>
      <c r="T568" s="1088"/>
      <c r="U568" s="1088"/>
      <c r="V568" s="1088"/>
      <c r="W568" s="1088"/>
      <c r="X568" s="1088"/>
      <c r="Y568" s="1088"/>
      <c r="Z568" s="1088"/>
      <c r="AA568" s="1088"/>
      <c r="AB568" s="1049"/>
      <c r="AC568" s="1002">
        <f>AC564/AC565</f>
        <v>4.5714285714285712</v>
      </c>
    </row>
    <row r="569" spans="1:29" hidden="1" outlineLevel="1">
      <c r="A569" s="1003" t="s">
        <v>8</v>
      </c>
      <c r="B569" s="1053">
        <f>'Gruppe A'!AS153</f>
        <v>11.333333333333334</v>
      </c>
      <c r="C569" s="1091">
        <f>'Gruppe A'!CM84</f>
        <v>0</v>
      </c>
      <c r="D569" s="1055"/>
      <c r="E569" s="1058"/>
      <c r="F569" s="1091">
        <f>'Gruppe A'!BE153</f>
        <v>7.5</v>
      </c>
      <c r="G569" s="1057">
        <f>'Gruppe A'!CL107</f>
        <v>2</v>
      </c>
      <c r="H569" s="1055"/>
      <c r="I569" s="1056"/>
      <c r="J569" s="1053">
        <f>'Gruppe A'!BS153</f>
        <v>2.5</v>
      </c>
      <c r="K569" s="1054">
        <f>'Gruppe A'!CM129</f>
        <v>4</v>
      </c>
      <c r="L569" s="1055"/>
      <c r="M569" s="1058"/>
      <c r="N569" s="1091"/>
      <c r="O569" s="1091"/>
      <c r="P569" s="1091"/>
      <c r="Q569" s="1091"/>
      <c r="R569" s="1091"/>
      <c r="S569" s="1091"/>
      <c r="T569" s="1091"/>
      <c r="U569" s="1091"/>
      <c r="V569" s="1091"/>
      <c r="W569" s="1091"/>
      <c r="X569" s="1091"/>
      <c r="Y569" s="1091"/>
      <c r="Z569" s="1091"/>
      <c r="AA569" s="1091"/>
      <c r="AB569" s="1057"/>
      <c r="AC569" s="1007">
        <f>AC564/(AC565-AC566)</f>
        <v>6.4</v>
      </c>
    </row>
    <row r="570" spans="1:29" ht="3" hidden="1" customHeight="1" outlineLevel="1"/>
    <row r="571" spans="1:29" hidden="1" outlineLevel="1">
      <c r="A571" s="1178" t="s">
        <v>109</v>
      </c>
      <c r="B571" s="1021"/>
      <c r="C571" s="1022"/>
      <c r="D571" s="1021"/>
      <c r="E571" s="1023"/>
      <c r="F571" s="1022"/>
      <c r="G571" s="1023"/>
      <c r="H571" s="1021"/>
      <c r="I571" s="1023"/>
      <c r="J571" s="1021"/>
      <c r="K571" s="1023"/>
      <c r="L571" s="1021"/>
      <c r="M571" s="1023"/>
      <c r="N571" s="1022"/>
      <c r="O571" s="1022"/>
      <c r="P571" s="1022"/>
      <c r="Q571" s="1022"/>
      <c r="R571" s="1022"/>
      <c r="S571" s="1022"/>
      <c r="T571" s="1022"/>
      <c r="U571" s="1022"/>
      <c r="V571" s="1022"/>
      <c r="W571" s="1022"/>
      <c r="X571" s="1022"/>
      <c r="Y571" s="1022"/>
      <c r="Z571" s="1022"/>
      <c r="AA571" s="1022"/>
      <c r="AB571" s="1023"/>
      <c r="AC571" s="1178"/>
    </row>
    <row r="572" spans="1:29" hidden="1" outlineLevel="1">
      <c r="A572" s="971" t="s">
        <v>3</v>
      </c>
      <c r="B572" s="1223">
        <f>'Gruppe A'!AQ148</f>
        <v>-24</v>
      </c>
      <c r="C572" s="113">
        <f>'Gruppe A'!CK79</f>
        <v>13</v>
      </c>
      <c r="D572" s="1028">
        <f>'Gruppe A'!CJ60</f>
        <v>13</v>
      </c>
      <c r="E572" s="1029">
        <f>'Gruppe A'!AC148</f>
        <v>12</v>
      </c>
      <c r="F572" s="113"/>
      <c r="G572" s="1031"/>
      <c r="H572" s="1027">
        <f>'Gruppe A'!CJ14</f>
        <v>19</v>
      </c>
      <c r="I572" s="1029">
        <f>'Gruppe A'!C148</f>
        <v>13</v>
      </c>
      <c r="J572" s="1028"/>
      <c r="K572" s="1079"/>
      <c r="L572" s="1027">
        <f>'Gruppe A'!CK35</f>
        <v>12</v>
      </c>
      <c r="M572" s="1031">
        <f>'Gruppe A'!Q148</f>
        <v>10</v>
      </c>
      <c r="N572" s="1079"/>
      <c r="O572" s="1079"/>
      <c r="P572" s="1079"/>
      <c r="Q572" s="1079"/>
      <c r="R572" s="1079"/>
      <c r="S572" s="1079"/>
      <c r="T572" s="1079"/>
      <c r="U572" s="1079"/>
      <c r="V572" s="1079"/>
      <c r="W572" s="1079"/>
      <c r="X572" s="1079"/>
      <c r="Y572" s="1079"/>
      <c r="Z572" s="1079"/>
      <c r="AA572" s="1079"/>
      <c r="AB572" s="1030"/>
      <c r="AC572" s="979">
        <f>SUM(B572:AB572)</f>
        <v>68</v>
      </c>
    </row>
    <row r="573" spans="1:29" hidden="1" outlineLevel="1">
      <c r="A573" s="971" t="s">
        <v>4</v>
      </c>
      <c r="B573" s="1028">
        <f>'Gruppe A'!AQ149</f>
        <v>3</v>
      </c>
      <c r="C573" s="1079">
        <f>'Gruppe A'!CK80</f>
        <v>2</v>
      </c>
      <c r="D573" s="1028">
        <f>'Gruppe A'!CJ61</f>
        <v>2</v>
      </c>
      <c r="E573" s="1031">
        <f>'Gruppe A'!AC149</f>
        <v>2</v>
      </c>
      <c r="F573" s="1079"/>
      <c r="G573" s="1030"/>
      <c r="H573" s="1028">
        <f>'Gruppe A'!CJ15</f>
        <v>2</v>
      </c>
      <c r="I573" s="1029">
        <f>'Gruppe A'!C149</f>
        <v>3</v>
      </c>
      <c r="J573" s="1027"/>
      <c r="K573" s="113"/>
      <c r="L573" s="1028">
        <f>'Gruppe A'!CK36</f>
        <v>1</v>
      </c>
      <c r="M573" s="1031">
        <f>'Gruppe A'!Q149</f>
        <v>2</v>
      </c>
      <c r="N573" s="1079"/>
      <c r="O573" s="1079"/>
      <c r="P573" s="1079"/>
      <c r="Q573" s="1079"/>
      <c r="R573" s="1079"/>
      <c r="S573" s="1079"/>
      <c r="T573" s="1079"/>
      <c r="U573" s="1079"/>
      <c r="V573" s="1079"/>
      <c r="W573" s="1079"/>
      <c r="X573" s="1079"/>
      <c r="Y573" s="1079"/>
      <c r="Z573" s="1079"/>
      <c r="AA573" s="1079"/>
      <c r="AB573" s="1030"/>
      <c r="AC573" s="985">
        <f>SUM(B573:AB573)</f>
        <v>17</v>
      </c>
    </row>
    <row r="574" spans="1:29" hidden="1" outlineLevel="1">
      <c r="A574" s="971" t="s">
        <v>6</v>
      </c>
      <c r="B574" s="1028">
        <f>'Gruppe A'!AQ150</f>
        <v>2</v>
      </c>
      <c r="C574" s="973">
        <f>'Gruppe A'!CK81</f>
        <v>0</v>
      </c>
      <c r="D574" s="972">
        <f>'Gruppe A'!CJ62</f>
        <v>0</v>
      </c>
      <c r="E574" s="1030">
        <f>'Gruppe A'!AC150</f>
        <v>1</v>
      </c>
      <c r="F574" s="1079"/>
      <c r="G574" s="115"/>
      <c r="H574" s="972">
        <f>'Gruppe A'!CJ16</f>
        <v>0</v>
      </c>
      <c r="I574" s="115">
        <f>'Gruppe A'!C150</f>
        <v>1</v>
      </c>
      <c r="J574" s="1028"/>
      <c r="K574" s="115"/>
      <c r="L574" s="972">
        <f>'Gruppe A'!CK37</f>
        <v>0</v>
      </c>
      <c r="M574" s="1029">
        <f>'Gruppe A'!Q150</f>
        <v>1</v>
      </c>
      <c r="N574" s="113"/>
      <c r="O574" s="113"/>
      <c r="P574" s="113"/>
      <c r="Q574" s="113"/>
      <c r="R574" s="113"/>
      <c r="S574" s="113"/>
      <c r="T574" s="113"/>
      <c r="U574" s="113"/>
      <c r="V574" s="113"/>
      <c r="W574" s="113"/>
      <c r="X574" s="113"/>
      <c r="Y574" s="113"/>
      <c r="Z574" s="113"/>
      <c r="AA574" s="113"/>
      <c r="AB574" s="1030"/>
      <c r="AC574" s="987">
        <f>SUM(B574:AB574)</f>
        <v>5</v>
      </c>
    </row>
    <row r="575" spans="1:29" hidden="1" outlineLevel="1">
      <c r="A575" s="971" t="s">
        <v>12</v>
      </c>
      <c r="B575" s="1083">
        <f>'Gruppe A'!AQ151</f>
        <v>0.66666666666666663</v>
      </c>
      <c r="C575" s="989">
        <f>'Gruppe A'!CK82</f>
        <v>0</v>
      </c>
      <c r="D575" s="1043">
        <f>'Gruppe A'!CJ63</f>
        <v>0</v>
      </c>
      <c r="E575" s="1086">
        <f>'Gruppe A'!AC151</f>
        <v>0.5</v>
      </c>
      <c r="F575" s="1044"/>
      <c r="G575" s="1082"/>
      <c r="H575" s="1043">
        <f>'Gruppe A'!CJ17</f>
        <v>0</v>
      </c>
      <c r="I575" s="1082">
        <f>'Gruppe A'!C151</f>
        <v>0.33333333333333331</v>
      </c>
      <c r="J575" s="1039"/>
      <c r="K575" s="1082"/>
      <c r="L575" s="1043">
        <f>'Gruppe A'!CK38</f>
        <v>0</v>
      </c>
      <c r="M575" s="1085">
        <f>'Gruppe A'!Q151</f>
        <v>0.5</v>
      </c>
      <c r="N575" s="1084"/>
      <c r="O575" s="1084"/>
      <c r="P575" s="1084"/>
      <c r="Q575" s="1084"/>
      <c r="R575" s="1084"/>
      <c r="S575" s="1084"/>
      <c r="T575" s="1084"/>
      <c r="U575" s="1084"/>
      <c r="V575" s="1084"/>
      <c r="W575" s="1084"/>
      <c r="X575" s="1084"/>
      <c r="Y575" s="1084"/>
      <c r="Z575" s="1084"/>
      <c r="AA575" s="1084"/>
      <c r="AB575" s="1086"/>
      <c r="AC575" s="996">
        <f>AC574/AC573</f>
        <v>0.29411764705882354</v>
      </c>
    </row>
    <row r="576" spans="1:29" hidden="1" outlineLevel="1">
      <c r="A576" s="971" t="s">
        <v>5</v>
      </c>
      <c r="B576" s="1045">
        <f>'Gruppe A'!AQ152</f>
        <v>-8</v>
      </c>
      <c r="C576" s="1088">
        <f>'Gruppe A'!CK83</f>
        <v>6.5</v>
      </c>
      <c r="D576" s="1047">
        <f>'Gruppe A'!CJ64</f>
        <v>6.5</v>
      </c>
      <c r="E576" s="1050">
        <f>'Gruppe A'!AC152</f>
        <v>6</v>
      </c>
      <c r="F576" s="1088"/>
      <c r="G576" s="1049"/>
      <c r="H576" s="1047">
        <f>'Gruppe A'!CJ18</f>
        <v>9.5</v>
      </c>
      <c r="I576" s="1048">
        <f>'Gruppe A'!C152</f>
        <v>4.333333333333333</v>
      </c>
      <c r="J576" s="1045"/>
      <c r="K576" s="1046"/>
      <c r="L576" s="1047">
        <f>'Gruppe A'!CK39</f>
        <v>12</v>
      </c>
      <c r="M576" s="1050">
        <f>'Gruppe A'!Q152</f>
        <v>5</v>
      </c>
      <c r="N576" s="1088"/>
      <c r="O576" s="1088"/>
      <c r="P576" s="1088"/>
      <c r="Q576" s="1088"/>
      <c r="R576" s="1088"/>
      <c r="S576" s="1088"/>
      <c r="T576" s="1088"/>
      <c r="U576" s="1088"/>
      <c r="V576" s="1088"/>
      <c r="W576" s="1088"/>
      <c r="X576" s="1088"/>
      <c r="Y576" s="1088"/>
      <c r="Z576" s="1088"/>
      <c r="AA576" s="1088"/>
      <c r="AB576" s="1049"/>
      <c r="AC576" s="1002">
        <f>AC572/AC573</f>
        <v>4</v>
      </c>
    </row>
    <row r="577" spans="1:29" hidden="1" outlineLevel="1">
      <c r="A577" s="1003" t="s">
        <v>8</v>
      </c>
      <c r="B577" s="1053">
        <f>'Gruppe A'!AQ153</f>
        <v>-24</v>
      </c>
      <c r="C577" s="1091">
        <f>'Gruppe A'!CK84</f>
        <v>6.5</v>
      </c>
      <c r="D577" s="1055">
        <f>'Gruppe A'!CJ65</f>
        <v>6.5</v>
      </c>
      <c r="E577" s="1058">
        <f>'Gruppe A'!AC153</f>
        <v>12</v>
      </c>
      <c r="F577" s="1091"/>
      <c r="G577" s="1057"/>
      <c r="H577" s="1055">
        <f>'Gruppe A'!CJ19</f>
        <v>9.5</v>
      </c>
      <c r="I577" s="1056">
        <f>'Gruppe A'!C153</f>
        <v>6.5</v>
      </c>
      <c r="J577" s="1053"/>
      <c r="K577" s="1054"/>
      <c r="L577" s="1055">
        <f>'Gruppe A'!CK40</f>
        <v>12</v>
      </c>
      <c r="M577" s="1058">
        <f>'Gruppe A'!Q153</f>
        <v>10</v>
      </c>
      <c r="N577" s="1091"/>
      <c r="O577" s="1091"/>
      <c r="P577" s="1091"/>
      <c r="Q577" s="1091"/>
      <c r="R577" s="1091"/>
      <c r="S577" s="1091"/>
      <c r="T577" s="1091"/>
      <c r="U577" s="1091"/>
      <c r="V577" s="1091"/>
      <c r="W577" s="1091"/>
      <c r="X577" s="1091"/>
      <c r="Y577" s="1091"/>
      <c r="Z577" s="1091"/>
      <c r="AA577" s="1091"/>
      <c r="AB577" s="1057"/>
      <c r="AC577" s="1007">
        <f>AC572/(AC573-AC574)</f>
        <v>5.666666666666667</v>
      </c>
    </row>
    <row r="578" spans="1:29" ht="3" hidden="1" customHeight="1" outlineLevel="1">
      <c r="B578" s="582"/>
      <c r="C578" s="582"/>
      <c r="D578" s="582"/>
      <c r="E578" s="582"/>
      <c r="F578" s="582"/>
      <c r="G578" s="582"/>
      <c r="H578" s="582"/>
      <c r="I578" s="582"/>
      <c r="J578" s="582"/>
      <c r="K578" s="582"/>
      <c r="L578" s="582"/>
      <c r="M578" s="1025"/>
      <c r="N578" s="582"/>
      <c r="O578" s="582"/>
      <c r="P578" s="582"/>
      <c r="Q578" s="582"/>
      <c r="R578" s="582"/>
      <c r="S578" s="582"/>
      <c r="T578" s="582"/>
      <c r="U578" s="582"/>
      <c r="V578" s="582"/>
      <c r="W578" s="582"/>
      <c r="X578" s="582"/>
      <c r="Y578" s="582"/>
      <c r="Z578" s="582"/>
      <c r="AA578" s="582"/>
      <c r="AB578" s="582"/>
    </row>
    <row r="579" spans="1:29" hidden="1" outlineLevel="1">
      <c r="A579" s="1178" t="s">
        <v>57</v>
      </c>
      <c r="B579" s="1021"/>
      <c r="C579" s="1022"/>
      <c r="D579" s="1021"/>
      <c r="E579" s="1023"/>
      <c r="F579" s="1022"/>
      <c r="G579" s="1023"/>
      <c r="H579" s="1021"/>
      <c r="I579" s="1023"/>
      <c r="J579" s="1021"/>
      <c r="K579" s="1023"/>
      <c r="L579" s="1021"/>
      <c r="M579" s="1023"/>
      <c r="N579" s="1022"/>
      <c r="O579" s="1022"/>
      <c r="P579" s="1022"/>
      <c r="Q579" s="1022"/>
      <c r="R579" s="1022"/>
      <c r="S579" s="1022"/>
      <c r="T579" s="1022"/>
      <c r="U579" s="1022"/>
      <c r="V579" s="1022"/>
      <c r="W579" s="1022"/>
      <c r="X579" s="1022"/>
      <c r="Y579" s="1022"/>
      <c r="Z579" s="1022"/>
      <c r="AA579" s="1022"/>
      <c r="AB579" s="1023"/>
      <c r="AC579" s="1178"/>
    </row>
    <row r="580" spans="1:29" hidden="1" outlineLevel="1">
      <c r="A580" s="971" t="s">
        <v>3</v>
      </c>
      <c r="B580" s="1027"/>
      <c r="C580" s="113"/>
      <c r="D580" s="1028">
        <f>'Gruppe A'!CM60</f>
        <v>3</v>
      </c>
      <c r="E580" s="1029">
        <f>'Gruppe A'!AF148</f>
        <v>0</v>
      </c>
      <c r="F580" s="113">
        <f>'Gruppe A'!BF148</f>
        <v>10</v>
      </c>
      <c r="G580" s="1031">
        <f>'Gruppe A'!CM102</f>
        <v>21</v>
      </c>
      <c r="H580" s="1027"/>
      <c r="I580" s="1029"/>
      <c r="J580" s="1028"/>
      <c r="K580" s="1079"/>
      <c r="L580" s="1027">
        <f>'Gruppe A'!CL35</f>
        <v>6</v>
      </c>
      <c r="M580" s="1031">
        <f>'Gruppe A'!R148</f>
        <v>10</v>
      </c>
      <c r="N580" s="1079"/>
      <c r="O580" s="1079"/>
      <c r="P580" s="1079"/>
      <c r="Q580" s="1079"/>
      <c r="R580" s="1079"/>
      <c r="S580" s="1079"/>
      <c r="T580" s="1079"/>
      <c r="U580" s="1079"/>
      <c r="V580" s="1079"/>
      <c r="W580" s="1079"/>
      <c r="X580" s="1079"/>
      <c r="Y580" s="1079"/>
      <c r="Z580" s="1079"/>
      <c r="AA580" s="1079"/>
      <c r="AB580" s="1030"/>
      <c r="AC580" s="979">
        <f>SUM(B580:AB580)</f>
        <v>50</v>
      </c>
    </row>
    <row r="581" spans="1:29" hidden="1" outlineLevel="1">
      <c r="A581" s="971" t="s">
        <v>4</v>
      </c>
      <c r="B581" s="1028"/>
      <c r="C581" s="1079"/>
      <c r="D581" s="1028">
        <f>'Gruppe A'!CM61</f>
        <v>2</v>
      </c>
      <c r="E581" s="1031">
        <f>'Gruppe A'!AF149</f>
        <v>1</v>
      </c>
      <c r="F581" s="1079">
        <f>'Gruppe A'!BF149</f>
        <v>2</v>
      </c>
      <c r="G581" s="1030">
        <f>'Gruppe A'!CM103</f>
        <v>2</v>
      </c>
      <c r="H581" s="1028"/>
      <c r="I581" s="1029"/>
      <c r="J581" s="1027"/>
      <c r="K581" s="113"/>
      <c r="L581" s="1028">
        <f>'Gruppe A'!CL36</f>
        <v>1</v>
      </c>
      <c r="M581" s="1031">
        <f>'Gruppe A'!R149</f>
        <v>2</v>
      </c>
      <c r="N581" s="1079"/>
      <c r="O581" s="1079"/>
      <c r="P581" s="1079"/>
      <c r="Q581" s="1079"/>
      <c r="R581" s="1079"/>
      <c r="S581" s="1079"/>
      <c r="T581" s="1079"/>
      <c r="U581" s="1079"/>
      <c r="V581" s="1079"/>
      <c r="W581" s="1079"/>
      <c r="X581" s="1079"/>
      <c r="Y581" s="1079"/>
      <c r="Z581" s="1079"/>
      <c r="AA581" s="1079"/>
      <c r="AB581" s="1030"/>
      <c r="AC581" s="985">
        <f>SUM(B581:AB581)</f>
        <v>10</v>
      </c>
    </row>
    <row r="582" spans="1:29" hidden="1" outlineLevel="1">
      <c r="A582" s="971" t="s">
        <v>6</v>
      </c>
      <c r="B582" s="1028"/>
      <c r="C582" s="115"/>
      <c r="D582" s="1028">
        <f>'Gruppe A'!CM62</f>
        <v>1</v>
      </c>
      <c r="E582" s="1030">
        <f>'Gruppe A'!AF150</f>
        <v>1</v>
      </c>
      <c r="F582" s="1079">
        <f>'Gruppe A'!BF150</f>
        <v>1</v>
      </c>
      <c r="G582" s="973">
        <f>'Gruppe A'!CM104</f>
        <v>0</v>
      </c>
      <c r="H582" s="1028"/>
      <c r="I582" s="115"/>
      <c r="J582" s="1028"/>
      <c r="K582" s="115"/>
      <c r="L582" s="972">
        <f>'Gruppe A'!CL37</f>
        <v>0</v>
      </c>
      <c r="M582" s="1029">
        <f>'Gruppe A'!R150</f>
        <v>1</v>
      </c>
      <c r="N582" s="113"/>
      <c r="O582" s="113"/>
      <c r="P582" s="113"/>
      <c r="Q582" s="113"/>
      <c r="R582" s="113"/>
      <c r="S582" s="113"/>
      <c r="T582" s="113"/>
      <c r="U582" s="113"/>
      <c r="V582" s="113"/>
      <c r="W582" s="113"/>
      <c r="X582" s="113"/>
      <c r="Y582" s="113"/>
      <c r="Z582" s="113"/>
      <c r="AA582" s="113"/>
      <c r="AB582" s="1030"/>
      <c r="AC582" s="987">
        <f>SUM(B582:AB582)</f>
        <v>4</v>
      </c>
    </row>
    <row r="583" spans="1:29" hidden="1" outlineLevel="1">
      <c r="A583" s="971" t="s">
        <v>12</v>
      </c>
      <c r="B583" s="1083"/>
      <c r="C583" s="1082"/>
      <c r="D583" s="1083">
        <f>'Gruppe A'!CM63</f>
        <v>0.5</v>
      </c>
      <c r="E583" s="1086">
        <f>'Gruppe A'!AF151</f>
        <v>1</v>
      </c>
      <c r="F583" s="1044">
        <f>'Gruppe A'!BF151</f>
        <v>0.5</v>
      </c>
      <c r="G583" s="989">
        <f>'Gruppe A'!CM105</f>
        <v>0</v>
      </c>
      <c r="H583" s="1039"/>
      <c r="I583" s="1082"/>
      <c r="J583" s="1039"/>
      <c r="K583" s="1082"/>
      <c r="L583" s="1043">
        <f>'Gruppe A'!CL38</f>
        <v>0</v>
      </c>
      <c r="M583" s="1085">
        <f>'Gruppe A'!R151</f>
        <v>0.5</v>
      </c>
      <c r="N583" s="1084"/>
      <c r="O583" s="1084"/>
      <c r="P583" s="1084"/>
      <c r="Q583" s="1084"/>
      <c r="R583" s="1084"/>
      <c r="S583" s="1084"/>
      <c r="T583" s="1084"/>
      <c r="U583" s="1084"/>
      <c r="V583" s="1084"/>
      <c r="W583" s="1084"/>
      <c r="X583" s="1084"/>
      <c r="Y583" s="1084"/>
      <c r="Z583" s="1084"/>
      <c r="AA583" s="1084"/>
      <c r="AB583" s="1086"/>
      <c r="AC583" s="996">
        <f>AC582/AC581</f>
        <v>0.4</v>
      </c>
    </row>
    <row r="584" spans="1:29" hidden="1" outlineLevel="1">
      <c r="A584" s="971" t="s">
        <v>5</v>
      </c>
      <c r="B584" s="1045"/>
      <c r="C584" s="1088"/>
      <c r="D584" s="1047">
        <f>'Gruppe A'!CM64</f>
        <v>1.5</v>
      </c>
      <c r="E584" s="1050">
        <f>'Gruppe A'!AF152</f>
        <v>0</v>
      </c>
      <c r="F584" s="1088">
        <f>'Gruppe A'!BF152</f>
        <v>5</v>
      </c>
      <c r="G584" s="1049">
        <f>'Gruppe A'!CM106</f>
        <v>10.5</v>
      </c>
      <c r="H584" s="1047"/>
      <c r="I584" s="1048"/>
      <c r="J584" s="1045"/>
      <c r="K584" s="1046"/>
      <c r="L584" s="1047">
        <f>'Gruppe A'!CL39</f>
        <v>6</v>
      </c>
      <c r="M584" s="1050">
        <f>'Gruppe A'!R152</f>
        <v>5</v>
      </c>
      <c r="N584" s="1088"/>
      <c r="O584" s="1088"/>
      <c r="P584" s="1088"/>
      <c r="Q584" s="1088"/>
      <c r="R584" s="1088"/>
      <c r="S584" s="1088"/>
      <c r="T584" s="1088"/>
      <c r="U584" s="1088"/>
      <c r="V584" s="1088"/>
      <c r="W584" s="1088"/>
      <c r="X584" s="1088"/>
      <c r="Y584" s="1088"/>
      <c r="Z584" s="1088"/>
      <c r="AA584" s="1088"/>
      <c r="AB584" s="1049"/>
      <c r="AC584" s="1002">
        <f>AC580/AC581</f>
        <v>5</v>
      </c>
    </row>
    <row r="585" spans="1:29" hidden="1" outlineLevel="1">
      <c r="A585" s="1003" t="s">
        <v>8</v>
      </c>
      <c r="B585" s="1053"/>
      <c r="C585" s="1091"/>
      <c r="D585" s="1055">
        <f>'Gruppe A'!CM65</f>
        <v>0</v>
      </c>
      <c r="E585" s="1058">
        <f>'Gruppe A'!AF153</f>
        <v>0</v>
      </c>
      <c r="F585" s="1091">
        <f>'Gruppe A'!BF153</f>
        <v>10</v>
      </c>
      <c r="G585" s="1057">
        <f>'Gruppe A'!CM107</f>
        <v>10.5</v>
      </c>
      <c r="H585" s="1055"/>
      <c r="I585" s="1056"/>
      <c r="J585" s="1053"/>
      <c r="K585" s="1054"/>
      <c r="L585" s="1055">
        <f>'Gruppe A'!CL40</f>
        <v>6</v>
      </c>
      <c r="M585" s="1058">
        <f>'Gruppe A'!R153</f>
        <v>10</v>
      </c>
      <c r="N585" s="1091"/>
      <c r="O585" s="1091"/>
      <c r="P585" s="1091"/>
      <c r="Q585" s="1091"/>
      <c r="R585" s="1091"/>
      <c r="S585" s="1091"/>
      <c r="T585" s="1091"/>
      <c r="U585" s="1091"/>
      <c r="V585" s="1091"/>
      <c r="W585" s="1091"/>
      <c r="X585" s="1091"/>
      <c r="Y585" s="1091"/>
      <c r="Z585" s="1091"/>
      <c r="AA585" s="1091"/>
      <c r="AB585" s="1057"/>
      <c r="AC585" s="1007">
        <f>AC580/(AC581-AC582)</f>
        <v>8.3333333333333339</v>
      </c>
    </row>
    <row r="586" spans="1:29" hidden="1" outlineLevel="1">
      <c r="A586" s="421"/>
      <c r="B586" s="1088"/>
      <c r="C586" s="1088"/>
      <c r="D586" s="1046"/>
      <c r="E586" s="1088"/>
      <c r="F586" s="1088"/>
      <c r="G586" s="1052"/>
      <c r="H586" s="1046"/>
      <c r="I586" s="1046"/>
      <c r="J586" s="1088"/>
      <c r="K586" s="1046"/>
      <c r="L586" s="1046"/>
      <c r="M586" s="1088"/>
      <c r="N586" s="1088"/>
      <c r="O586" s="1088"/>
      <c r="P586" s="1088"/>
      <c r="Q586" s="1088"/>
      <c r="R586" s="1088"/>
      <c r="S586" s="1088"/>
      <c r="T586" s="1088"/>
      <c r="U586" s="1088"/>
      <c r="V586" s="1088"/>
      <c r="W586" s="1088"/>
      <c r="X586" s="1088"/>
      <c r="Y586" s="1088"/>
      <c r="Z586" s="1088"/>
      <c r="AA586" s="1088"/>
      <c r="AB586" s="1052"/>
      <c r="AC586" s="1295"/>
    </row>
    <row r="587" spans="1:29" collapsed="1"/>
  </sheetData>
  <mergeCells count="2">
    <mergeCell ref="B1:AB1"/>
    <mergeCell ref="B163:C163"/>
  </mergeCells>
  <pageMargins left="0.25" right="0.25" top="0.75" bottom="0.75" header="0.3" footer="0.3"/>
  <pageSetup paperSize="9" scale="21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8"/>
  <sheetViews>
    <sheetView tabSelected="1" zoomScale="70" zoomScaleNormal="70" workbookViewId="0">
      <pane xSplit="1" ySplit="1" topLeftCell="B2" activePane="bottomRight" state="frozen"/>
      <selection pane="topRight"/>
      <selection pane="bottomLeft"/>
      <selection pane="bottomRight"/>
    </sheetView>
  </sheetViews>
  <sheetFormatPr baseColWidth="10" defaultRowHeight="15.75" outlineLevelCol="1"/>
  <cols>
    <col min="1" max="1" width="74.140625" style="1" bestFit="1" customWidth="1" collapsed="1"/>
    <col min="2" max="5" width="6.140625" style="502" hidden="1" customWidth="1" outlineLevel="1"/>
    <col min="6" max="6" width="2.7109375" style="106" hidden="1" customWidth="1" outlineLevel="1"/>
    <col min="7" max="7" width="6.7109375" style="4" hidden="1" customWidth="1" outlineLevel="1"/>
    <col min="8" max="8" width="2.7109375" style="106" hidden="1" customWidth="1" outlineLevel="1"/>
    <col min="9" max="9" width="7.42578125" style="502" hidden="1" customWidth="1" outlineLevel="1"/>
    <col min="10" max="10" width="6.140625" style="502" hidden="1" customWidth="1" outlineLevel="1"/>
    <col min="11" max="12" width="7.42578125" style="502" hidden="1" customWidth="1" outlineLevel="1"/>
    <col min="13" max="13" width="1.7109375" style="2" customWidth="1" collapsed="1"/>
    <col min="14" max="15" width="7.140625" style="229" hidden="1" customWidth="1" outlineLevel="1"/>
    <col min="16" max="16" width="7.7109375" style="502" customWidth="1" collapsed="1"/>
    <col min="17" max="20" width="7.7109375" style="502" customWidth="1"/>
    <col min="21" max="22" width="7.7109375" style="228" customWidth="1"/>
    <col min="23" max="24" width="7.7109375" style="502" customWidth="1"/>
    <col min="25" max="28" width="7.7109375" style="228" customWidth="1"/>
    <col min="29" max="29" width="7.7109375" style="1" customWidth="1"/>
    <col min="30" max="30" width="2.7109375" style="106" customWidth="1"/>
    <col min="31" max="31" width="6.7109375" style="4" customWidth="1"/>
    <col min="32" max="32" width="2.7109375" style="106" customWidth="1"/>
    <col min="33" max="36" width="6.7109375" style="502" customWidth="1"/>
    <col min="37" max="37" width="6.7109375" style="228" customWidth="1"/>
    <col min="38" max="46" width="6.7109375" style="502" customWidth="1"/>
    <col min="47" max="47" width="1.7109375" style="2" customWidth="1"/>
    <col min="48" max="16384" width="11.42578125" style="1"/>
  </cols>
  <sheetData>
    <row r="1" spans="1:47" ht="152.25">
      <c r="A1" s="650"/>
      <c r="B1" s="501" t="s">
        <v>0</v>
      </c>
      <c r="C1" s="501" t="s">
        <v>1</v>
      </c>
      <c r="D1" s="499" t="s">
        <v>53</v>
      </c>
      <c r="E1" s="498" t="s">
        <v>56</v>
      </c>
      <c r="F1" s="1"/>
      <c r="G1" s="500" t="s">
        <v>51</v>
      </c>
      <c r="H1" s="1"/>
      <c r="I1" s="502" t="s">
        <v>50</v>
      </c>
      <c r="J1" s="502" t="s">
        <v>49</v>
      </c>
      <c r="K1" s="502" t="s">
        <v>52</v>
      </c>
      <c r="L1" s="502" t="s">
        <v>60</v>
      </c>
      <c r="N1" s="484" t="s">
        <v>124</v>
      </c>
      <c r="O1" s="484" t="s">
        <v>123</v>
      </c>
      <c r="P1" s="327" t="s">
        <v>97</v>
      </c>
      <c r="Q1" s="328" t="s">
        <v>117</v>
      </c>
      <c r="R1" s="329" t="s">
        <v>98</v>
      </c>
      <c r="S1" s="330" t="s">
        <v>103</v>
      </c>
      <c r="T1" s="684" t="s">
        <v>155</v>
      </c>
      <c r="U1" s="689" t="s">
        <v>144</v>
      </c>
      <c r="V1" s="694" t="s">
        <v>131</v>
      </c>
      <c r="W1" s="701" t="s">
        <v>138</v>
      </c>
      <c r="X1" s="706" t="s">
        <v>92</v>
      </c>
      <c r="Y1" s="767" t="s">
        <v>145</v>
      </c>
      <c r="Z1" s="781" t="s">
        <v>146</v>
      </c>
      <c r="AA1" s="327" t="s">
        <v>105</v>
      </c>
      <c r="AB1" s="327" t="s">
        <v>112</v>
      </c>
      <c r="AC1" s="711" t="s">
        <v>125</v>
      </c>
      <c r="AD1" s="1"/>
      <c r="AE1" s="500" t="s">
        <v>51</v>
      </c>
      <c r="AF1" s="1"/>
      <c r="AG1" s="629" t="s">
        <v>126</v>
      </c>
      <c r="AH1" s="629" t="s">
        <v>127</v>
      </c>
      <c r="AI1" s="629" t="s">
        <v>128</v>
      </c>
      <c r="AJ1" s="629" t="s">
        <v>129</v>
      </c>
      <c r="AK1" s="629" t="s">
        <v>156</v>
      </c>
      <c r="AL1" s="629" t="s">
        <v>162</v>
      </c>
      <c r="AM1" s="629" t="s">
        <v>157</v>
      </c>
      <c r="AN1" s="629" t="s">
        <v>49</v>
      </c>
      <c r="AO1" s="629" t="s">
        <v>158</v>
      </c>
      <c r="AP1" s="629" t="s">
        <v>159</v>
      </c>
      <c r="AQ1" s="629" t="s">
        <v>160</v>
      </c>
      <c r="AR1" s="629" t="s">
        <v>161</v>
      </c>
      <c r="AS1" s="629" t="s">
        <v>163</v>
      </c>
      <c r="AT1" s="630" t="s">
        <v>50</v>
      </c>
    </row>
    <row r="2" spans="1:47">
      <c r="A2" s="1" t="s">
        <v>48</v>
      </c>
      <c r="B2" s="17">
        <v>25</v>
      </c>
      <c r="C2" s="17">
        <v>25</v>
      </c>
      <c r="D2" s="17">
        <v>25</v>
      </c>
      <c r="E2" s="510">
        <v>25</v>
      </c>
      <c r="F2" s="1"/>
      <c r="H2" s="1"/>
      <c r="M2" s="506"/>
      <c r="N2" s="230">
        <v>14</v>
      </c>
      <c r="O2" s="230">
        <v>13</v>
      </c>
      <c r="P2" s="510">
        <v>25</v>
      </c>
      <c r="Q2" s="195">
        <v>25</v>
      </c>
      <c r="R2" s="598">
        <v>25</v>
      </c>
      <c r="S2" s="175">
        <v>27</v>
      </c>
      <c r="T2" s="282">
        <v>17</v>
      </c>
      <c r="U2" s="271">
        <v>18</v>
      </c>
      <c r="V2" s="297">
        <v>17</v>
      </c>
      <c r="W2" s="307">
        <v>17</v>
      </c>
      <c r="X2" s="317">
        <v>14</v>
      </c>
      <c r="Y2" s="768">
        <v>14</v>
      </c>
      <c r="Z2" s="782">
        <v>14</v>
      </c>
      <c r="AA2" s="510">
        <v>16</v>
      </c>
      <c r="AB2" s="510">
        <v>12</v>
      </c>
      <c r="AC2" s="144">
        <v>25</v>
      </c>
      <c r="AD2" s="1"/>
      <c r="AF2" s="1"/>
      <c r="AT2" s="146"/>
      <c r="AU2" s="506"/>
    </row>
    <row r="3" spans="1:47">
      <c r="A3" s="1" t="s">
        <v>47</v>
      </c>
      <c r="B3" s="17">
        <v>2</v>
      </c>
      <c r="C3" s="17">
        <v>4</v>
      </c>
      <c r="D3" s="19">
        <v>5</v>
      </c>
      <c r="E3" s="510">
        <v>3</v>
      </c>
      <c r="F3" s="1"/>
      <c r="H3" s="1"/>
      <c r="M3" s="506"/>
      <c r="N3" s="230">
        <v>7</v>
      </c>
      <c r="O3" s="230">
        <v>11</v>
      </c>
      <c r="P3" s="510">
        <v>14</v>
      </c>
      <c r="Q3" s="195">
        <v>19</v>
      </c>
      <c r="R3" s="598">
        <v>14</v>
      </c>
      <c r="S3" s="175">
        <v>16</v>
      </c>
      <c r="T3" s="282">
        <v>10</v>
      </c>
      <c r="U3" s="271">
        <v>9</v>
      </c>
      <c r="V3" s="297">
        <v>9</v>
      </c>
      <c r="W3" s="307">
        <v>8</v>
      </c>
      <c r="X3" s="317">
        <v>7</v>
      </c>
      <c r="Y3" s="768">
        <v>7</v>
      </c>
      <c r="Z3" s="782">
        <v>4</v>
      </c>
      <c r="AA3" s="510">
        <v>3</v>
      </c>
      <c r="AB3" s="510">
        <v>1</v>
      </c>
      <c r="AC3" s="144">
        <v>11</v>
      </c>
      <c r="AD3" s="1"/>
      <c r="AF3" s="1"/>
      <c r="AT3" s="146"/>
      <c r="AU3" s="506"/>
    </row>
    <row r="4" spans="1:47" s="503" customFormat="1">
      <c r="A4" s="512" t="s">
        <v>46</v>
      </c>
      <c r="B4" s="578">
        <f>B3/B2</f>
        <v>0.08</v>
      </c>
      <c r="C4" s="578">
        <f>C3/C2</f>
        <v>0.16</v>
      </c>
      <c r="D4" s="505">
        <f>D3/D2</f>
        <v>0.2</v>
      </c>
      <c r="E4" s="579">
        <f>E3/E2</f>
        <v>0.12</v>
      </c>
      <c r="F4" s="516"/>
      <c r="G4" s="331">
        <f>MAX(B4:E4)</f>
        <v>0.2</v>
      </c>
      <c r="H4" s="516"/>
      <c r="I4" s="578">
        <f>B4/$G4</f>
        <v>0.39999999999999997</v>
      </c>
      <c r="J4" s="578">
        <f>C4/$G4</f>
        <v>0.79999999999999993</v>
      </c>
      <c r="K4" s="505">
        <f>D4/$G4</f>
        <v>1</v>
      </c>
      <c r="L4" s="579">
        <f>E4/$G4</f>
        <v>0.6</v>
      </c>
      <c r="M4" s="504"/>
      <c r="N4" s="625">
        <v>0.5</v>
      </c>
      <c r="O4" s="625">
        <v>0.84615384615384615</v>
      </c>
      <c r="P4" s="631">
        <f t="shared" ref="P4:AC4" si="0">P3/P2</f>
        <v>0.56000000000000005</v>
      </c>
      <c r="Q4" s="333">
        <f t="shared" si="0"/>
        <v>0.76</v>
      </c>
      <c r="R4" s="599">
        <f t="shared" si="0"/>
        <v>0.56000000000000005</v>
      </c>
      <c r="S4" s="227">
        <f t="shared" si="0"/>
        <v>0.59259259259259256</v>
      </c>
      <c r="T4" s="404">
        <f t="shared" si="0"/>
        <v>0.58823529411764708</v>
      </c>
      <c r="U4" s="399">
        <f t="shared" si="0"/>
        <v>0.5</v>
      </c>
      <c r="V4" s="401">
        <f t="shared" si="0"/>
        <v>0.52941176470588236</v>
      </c>
      <c r="W4" s="403">
        <f t="shared" si="0"/>
        <v>0.47058823529411764</v>
      </c>
      <c r="X4" s="402">
        <f t="shared" si="0"/>
        <v>0.5</v>
      </c>
      <c r="Y4" s="769">
        <f t="shared" si="0"/>
        <v>0.5</v>
      </c>
      <c r="Z4" s="783">
        <f t="shared" si="0"/>
        <v>0.2857142857142857</v>
      </c>
      <c r="AA4" s="578">
        <f t="shared" si="0"/>
        <v>0.1875</v>
      </c>
      <c r="AB4" s="578">
        <f t="shared" si="0"/>
        <v>8.3333333333333329E-2</v>
      </c>
      <c r="AC4" s="334">
        <f t="shared" si="0"/>
        <v>0.44</v>
      </c>
      <c r="AD4" s="516"/>
      <c r="AE4" s="331">
        <f>MAX(P4:AC4)</f>
        <v>0.76</v>
      </c>
      <c r="AF4" s="516"/>
      <c r="AG4" s="631">
        <f>P4/$AE4</f>
        <v>0.73684210526315796</v>
      </c>
      <c r="AH4" s="631">
        <f t="shared" ref="AH4:AT4" si="1">Q4/$AE4</f>
        <v>1</v>
      </c>
      <c r="AI4" s="631">
        <f t="shared" si="1"/>
        <v>0.73684210526315796</v>
      </c>
      <c r="AJ4" s="631">
        <f t="shared" si="1"/>
        <v>0.77972709551656916</v>
      </c>
      <c r="AK4" s="631">
        <f t="shared" si="1"/>
        <v>0.77399380804953566</v>
      </c>
      <c r="AL4" s="631">
        <f t="shared" si="1"/>
        <v>0.65789473684210531</v>
      </c>
      <c r="AM4" s="631">
        <f t="shared" si="1"/>
        <v>0.69659442724458209</v>
      </c>
      <c r="AN4" s="631">
        <f t="shared" si="1"/>
        <v>0.61919504643962842</v>
      </c>
      <c r="AO4" s="631">
        <f t="shared" si="1"/>
        <v>0.65789473684210531</v>
      </c>
      <c r="AP4" s="631">
        <f t="shared" si="1"/>
        <v>0.65789473684210531</v>
      </c>
      <c r="AQ4" s="631">
        <f t="shared" si="1"/>
        <v>0.37593984962406013</v>
      </c>
      <c r="AR4" s="631">
        <f t="shared" si="1"/>
        <v>0.24671052631578946</v>
      </c>
      <c r="AS4" s="631">
        <f t="shared" si="1"/>
        <v>0.10964912280701754</v>
      </c>
      <c r="AT4" s="672">
        <f t="shared" si="1"/>
        <v>0.57894736842105265</v>
      </c>
      <c r="AU4" s="504"/>
    </row>
    <row r="5" spans="1:47" ht="15">
      <c r="A5" s="1" t="s">
        <v>45</v>
      </c>
      <c r="B5" s="510">
        <v>7</v>
      </c>
      <c r="C5" s="510">
        <v>7</v>
      </c>
      <c r="D5" s="17">
        <v>8</v>
      </c>
      <c r="E5" s="17">
        <v>7</v>
      </c>
      <c r="F5" s="502"/>
      <c r="H5" s="502"/>
      <c r="M5" s="506"/>
      <c r="N5" s="231">
        <v>5</v>
      </c>
      <c r="O5" s="231">
        <v>5</v>
      </c>
      <c r="P5" s="514">
        <v>7</v>
      </c>
      <c r="Q5" s="216">
        <v>6</v>
      </c>
      <c r="R5" s="214">
        <v>6</v>
      </c>
      <c r="S5" s="224">
        <v>6</v>
      </c>
      <c r="T5" s="685">
        <v>6</v>
      </c>
      <c r="U5" s="690">
        <v>7</v>
      </c>
      <c r="V5" s="695">
        <v>8</v>
      </c>
      <c r="W5" s="702">
        <v>6</v>
      </c>
      <c r="X5" s="707">
        <v>6</v>
      </c>
      <c r="Y5" s="770">
        <v>7</v>
      </c>
      <c r="Z5" s="784">
        <v>10</v>
      </c>
      <c r="AA5" s="514">
        <v>9</v>
      </c>
      <c r="AB5" s="514">
        <v>9</v>
      </c>
      <c r="AC5" s="146">
        <v>8</v>
      </c>
      <c r="AD5" s="502"/>
      <c r="AF5" s="502"/>
      <c r="AK5" s="502"/>
      <c r="AT5" s="146"/>
      <c r="AU5" s="506"/>
    </row>
    <row r="6" spans="1:47" ht="15">
      <c r="A6" s="1" t="s">
        <v>44</v>
      </c>
      <c r="B6" s="510">
        <v>10</v>
      </c>
      <c r="C6" s="510">
        <v>9</v>
      </c>
      <c r="D6" s="17">
        <v>17</v>
      </c>
      <c r="E6" s="17">
        <v>10</v>
      </c>
      <c r="F6" s="502"/>
      <c r="H6" s="502"/>
      <c r="M6" s="506"/>
      <c r="N6" s="232">
        <v>11</v>
      </c>
      <c r="O6" s="232">
        <v>14</v>
      </c>
      <c r="P6" s="515">
        <v>17</v>
      </c>
      <c r="Q6" s="217">
        <v>10</v>
      </c>
      <c r="R6" s="215">
        <v>13</v>
      </c>
      <c r="S6" s="225">
        <v>11</v>
      </c>
      <c r="T6" s="686">
        <v>14</v>
      </c>
      <c r="U6" s="691">
        <v>20</v>
      </c>
      <c r="V6" s="696">
        <v>14</v>
      </c>
      <c r="W6" s="703">
        <v>14</v>
      </c>
      <c r="X6" s="708">
        <v>13</v>
      </c>
      <c r="Y6" s="771">
        <v>16</v>
      </c>
      <c r="Z6" s="785">
        <v>11</v>
      </c>
      <c r="AA6" s="515">
        <v>12</v>
      </c>
      <c r="AB6" s="515">
        <v>9</v>
      </c>
      <c r="AC6" s="146">
        <v>11</v>
      </c>
      <c r="AD6" s="502"/>
      <c r="AF6" s="502"/>
      <c r="AK6" s="502"/>
      <c r="AT6" s="146"/>
      <c r="AU6" s="506"/>
    </row>
    <row r="7" spans="1:47" s="503" customFormat="1">
      <c r="A7" s="28" t="s">
        <v>43</v>
      </c>
      <c r="B7" s="335">
        <f>(Auswertung!B5+Auswertung!E5)/'Teamprofile (8)'!B3</f>
        <v>8.5</v>
      </c>
      <c r="C7" s="336">
        <f>(Auswertung!F5+Auswertung!K5+Auswertung!O5+Auswertung!Z5)/'Teamprofile (8)'!C3</f>
        <v>8.25</v>
      </c>
      <c r="D7" s="337">
        <f>(Auswertung!C5+Auswertung!P5+Auswertung!U5+Auswertung!Y5+Auswertung!AB5)/'Teamprofile (8)'!D3</f>
        <v>12</v>
      </c>
      <c r="E7" s="337">
        <f>(Auswertung!G5+Auswertung!I5+Auswertung!Q5)/'Teamprofile (8)'!E3</f>
        <v>8</v>
      </c>
      <c r="F7" s="516"/>
      <c r="G7" s="338">
        <f>MIN(B7:E7)</f>
        <v>8</v>
      </c>
      <c r="H7" s="516"/>
      <c r="I7" s="505">
        <f>$G7/B7</f>
        <v>0.94117647058823528</v>
      </c>
      <c r="J7" s="578">
        <f>$G7/C7</f>
        <v>0.96969696969696972</v>
      </c>
      <c r="K7" s="579">
        <f>$G7/D7</f>
        <v>0.66666666666666663</v>
      </c>
      <c r="L7" s="579">
        <f>$G7/E7</f>
        <v>1</v>
      </c>
      <c r="M7" s="504"/>
      <c r="N7" s="339">
        <v>8</v>
      </c>
      <c r="O7" s="339">
        <v>8.1999999999999993</v>
      </c>
      <c r="P7" s="632">
        <f>(Auswertung!B5+Auswertung!C5+Auswertung!E5+Auswertung!F5+Auswertung!G5+Auswertung!I5+Auswertung!K5+Auswertung!O5+Auswertung!P5+Auswertung!Q5+Auswertung!U5+Auswertung!Y5+Auswertung!Z5+Auswertung!AB5)/'Teamprofile (8)'!P3</f>
        <v>9.5714285714285712</v>
      </c>
      <c r="Q7" s="667">
        <f>(Auswertung!C53+Auswertung!D53+Auswertung!E53+Auswertung!G53+Auswertung!H53+Auswertung!I53+Auswertung!J53+Auswertung!K53+Auswertung!L53+Auswertung!M53+Auswertung!N53+Auswertung!O53+Auswertung!P53+Auswertung!T53+Auswertung!U53+Auswertung!W53+Auswertung!X53+Auswertung!Y53+Auswertung!AB53)/'Teamprofile (8)'!Q3</f>
        <v>7.6315789473684212</v>
      </c>
      <c r="R7" s="668">
        <f>(Auswertung!D93+Auswertung!E93+Auswertung!F93+Auswertung!I93+Auswertung!L93+Auswertung!M93+Auswertung!O93+Auswertung!P93+Auswertung!Q93+Auswertung!S93+Auswertung!T93+Auswertung!V93+Auswertung!Z93+Auswertung!AA93)/R3</f>
        <v>8.5</v>
      </c>
      <c r="S7" s="669">
        <f>(Auswertung!B149+Auswertung!C149+Auswertung!D149+Auswertung!G149+Auswertung!H149+Auswertung!J149+Auswertung!K149+Auswertung!L149+Auswertung!M149+Auswertung!N149+Auswertung!Q149+Auswertung!R149+Auswertung!S149+Auswertung!V149+Auswertung!X149+Auswertung!AA149)/S3</f>
        <v>8</v>
      </c>
      <c r="T7" s="687">
        <f>(6+7+9+9+10+9+10+12+9+14)/'Teamprofile (8)'!T3</f>
        <v>9.5</v>
      </c>
      <c r="U7" s="692">
        <f>(20+9+7+12+9+55)/'Teamprofile (8)'!U3</f>
        <v>12.444444444444445</v>
      </c>
      <c r="V7" s="697">
        <f>(14+9+10+8+8+9+9+55)/'Teamprofile (8)'!V3</f>
        <v>13.555555555555555</v>
      </c>
      <c r="W7" s="704">
        <f>(9+6+14+10+11+12)/'Teamprofile (8)'!W3</f>
        <v>7.75</v>
      </c>
      <c r="X7" s="709">
        <f>(12+13+10+7+6+6)/'Teamprofile (8)'!X3</f>
        <v>7.7142857142857144</v>
      </c>
      <c r="Y7" s="772">
        <f>(7+12+16+10+7+11+6)/'Teamprofile (8)'!Y3</f>
        <v>9.8571428571428577</v>
      </c>
      <c r="Z7" s="786">
        <f>(10+11+10+10)/'Teamprofile (8)'!Z3</f>
        <v>10.25</v>
      </c>
      <c r="AA7" s="341">
        <f>(9+11+12)/'Teamprofile (8)'!AA3</f>
        <v>10.666666666666666</v>
      </c>
      <c r="AB7" s="341">
        <f>9/'Teamprofile (8)'!AB3</f>
        <v>9</v>
      </c>
      <c r="AC7" s="342">
        <f>(8+10+11)/3</f>
        <v>9.6666666666666661</v>
      </c>
      <c r="AD7" s="516"/>
      <c r="AE7" s="338">
        <f>MIN(P7:AC7)</f>
        <v>7.6315789473684212</v>
      </c>
      <c r="AF7" s="516"/>
      <c r="AG7" s="631">
        <f>$AE7/P7</f>
        <v>0.79732914375490971</v>
      </c>
      <c r="AH7" s="631">
        <f t="shared" ref="AH7:AT7" si="2">$AE7/Q7</f>
        <v>1</v>
      </c>
      <c r="AI7" s="631">
        <f t="shared" si="2"/>
        <v>0.89783281733746134</v>
      </c>
      <c r="AJ7" s="631">
        <f t="shared" si="2"/>
        <v>0.95394736842105265</v>
      </c>
      <c r="AK7" s="631">
        <f t="shared" si="2"/>
        <v>0.80332409972299168</v>
      </c>
      <c r="AL7" s="631">
        <f t="shared" si="2"/>
        <v>0.6132518796992481</v>
      </c>
      <c r="AM7" s="631">
        <f t="shared" si="2"/>
        <v>0.56298533218291635</v>
      </c>
      <c r="AN7" s="631">
        <f t="shared" si="2"/>
        <v>0.98471986417657054</v>
      </c>
      <c r="AO7" s="631">
        <f t="shared" si="2"/>
        <v>0.9892787524366472</v>
      </c>
      <c r="AP7" s="631">
        <f t="shared" si="2"/>
        <v>0.77421815408085426</v>
      </c>
      <c r="AQ7" s="631">
        <f t="shared" si="2"/>
        <v>0.74454428754813862</v>
      </c>
      <c r="AR7" s="631">
        <f t="shared" si="2"/>
        <v>0.71546052631578949</v>
      </c>
      <c r="AS7" s="631">
        <f t="shared" si="2"/>
        <v>0.84795321637426901</v>
      </c>
      <c r="AT7" s="672">
        <f t="shared" si="2"/>
        <v>0.78947368421052644</v>
      </c>
      <c r="AU7" s="504"/>
    </row>
    <row r="8" spans="1:47" s="2" customFormat="1" ht="6" customHeight="1">
      <c r="B8" s="506"/>
      <c r="C8" s="506"/>
      <c r="D8" s="506"/>
      <c r="E8" s="506"/>
      <c r="G8" s="506"/>
      <c r="I8" s="506"/>
      <c r="J8" s="506"/>
      <c r="K8" s="506"/>
      <c r="L8" s="506"/>
      <c r="M8" s="506"/>
      <c r="N8" s="233"/>
      <c r="O8" s="233"/>
      <c r="P8" s="506"/>
      <c r="Q8" s="506"/>
      <c r="R8" s="506"/>
      <c r="S8" s="506"/>
      <c r="T8" s="506"/>
      <c r="U8" s="506"/>
      <c r="V8" s="506"/>
      <c r="W8" s="506"/>
      <c r="X8" s="506"/>
      <c r="Y8" s="506"/>
      <c r="Z8" s="506"/>
      <c r="AA8" s="506"/>
      <c r="AB8" s="506"/>
      <c r="AE8" s="506"/>
      <c r="AG8" s="506"/>
      <c r="AH8" s="506"/>
      <c r="AI8" s="506"/>
      <c r="AJ8" s="506"/>
      <c r="AK8" s="506"/>
      <c r="AL8" s="506"/>
      <c r="AM8" s="506"/>
      <c r="AN8" s="506"/>
      <c r="AO8" s="506"/>
      <c r="AP8" s="506"/>
      <c r="AQ8" s="506"/>
      <c r="AR8" s="506"/>
      <c r="AS8" s="506"/>
      <c r="AT8" s="506"/>
      <c r="AU8" s="506"/>
    </row>
    <row r="9" spans="1:47" ht="15">
      <c r="A9" s="1" t="s">
        <v>42</v>
      </c>
      <c r="B9" s="22">
        <f>Auswertung!AC12</f>
        <v>344</v>
      </c>
      <c r="C9" s="22">
        <f>Auswertung!AC20</f>
        <v>241</v>
      </c>
      <c r="D9" s="21">
        <f>Auswertung!AC28</f>
        <v>299</v>
      </c>
      <c r="E9" s="511">
        <f>Auswertung!AC36</f>
        <v>186</v>
      </c>
      <c r="F9" s="1"/>
      <c r="H9" s="1"/>
      <c r="M9" s="506"/>
      <c r="N9" s="234">
        <v>615</v>
      </c>
      <c r="O9" s="234">
        <v>630</v>
      </c>
      <c r="P9" s="511">
        <f>SUM(B9:E9)</f>
        <v>1070</v>
      </c>
      <c r="Q9" s="210">
        <f>Auswertung!AC52</f>
        <v>1200</v>
      </c>
      <c r="R9" s="166">
        <f>Auswertung!AC92</f>
        <v>1113</v>
      </c>
      <c r="S9" s="190">
        <f>Auswertung!AC148</f>
        <v>1198</v>
      </c>
      <c r="T9" s="285">
        <f>Auswertung!AC188</f>
        <v>760</v>
      </c>
      <c r="U9" s="274">
        <f>Auswertung!AC236</f>
        <v>693</v>
      </c>
      <c r="V9" s="300">
        <f>Auswertung!AC284</f>
        <v>707</v>
      </c>
      <c r="W9" s="310">
        <f>Auswertung!AC324</f>
        <v>736</v>
      </c>
      <c r="X9" s="320">
        <f>Auswertung!AC364</f>
        <v>567</v>
      </c>
      <c r="Y9" s="773">
        <f>Auswertung!AC412</f>
        <v>631</v>
      </c>
      <c r="Z9" s="787">
        <f>Auswertung!AC452</f>
        <v>578</v>
      </c>
      <c r="AA9" s="511">
        <f>Auswertung!AC492</f>
        <v>590</v>
      </c>
      <c r="AB9" s="511">
        <f>Auswertung!AC532</f>
        <v>371</v>
      </c>
      <c r="AC9" s="148">
        <f>Auswertung!AC44</f>
        <v>1044</v>
      </c>
      <c r="AD9" s="1"/>
      <c r="AF9" s="1"/>
      <c r="AK9" s="502"/>
      <c r="AT9" s="146"/>
      <c r="AU9" s="506"/>
    </row>
    <row r="10" spans="1:47" s="503" customFormat="1">
      <c r="A10" s="512" t="s">
        <v>41</v>
      </c>
      <c r="B10" s="336">
        <f>B9/B2</f>
        <v>13.76</v>
      </c>
      <c r="C10" s="335">
        <f>C9/C2</f>
        <v>9.64</v>
      </c>
      <c r="D10" s="337">
        <f>D9/D2</f>
        <v>11.96</v>
      </c>
      <c r="E10" s="336">
        <f>E9/E2</f>
        <v>7.44</v>
      </c>
      <c r="F10" s="516"/>
      <c r="G10" s="343">
        <f>MAX(B10:E10)</f>
        <v>13.76</v>
      </c>
      <c r="H10" s="516"/>
      <c r="I10" s="578">
        <f t="shared" ref="I10:L11" si="3">B10/$G10</f>
        <v>1</v>
      </c>
      <c r="J10" s="505">
        <f t="shared" si="3"/>
        <v>0.70058139534883723</v>
      </c>
      <c r="K10" s="579">
        <f t="shared" si="3"/>
        <v>0.86918604651162801</v>
      </c>
      <c r="L10" s="578">
        <f t="shared" si="3"/>
        <v>0.54069767441860472</v>
      </c>
      <c r="M10" s="504"/>
      <c r="N10" s="344">
        <v>43.928571428571431</v>
      </c>
      <c r="O10" s="493">
        <f t="shared" ref="O10:AC10" si="4">O9/O2</f>
        <v>48.46153846153846</v>
      </c>
      <c r="P10" s="633">
        <f t="shared" si="4"/>
        <v>42.8</v>
      </c>
      <c r="Q10" s="626">
        <f t="shared" si="4"/>
        <v>48</v>
      </c>
      <c r="R10" s="656">
        <f t="shared" si="4"/>
        <v>44.52</v>
      </c>
      <c r="S10" s="346">
        <f t="shared" si="4"/>
        <v>44.370370370370374</v>
      </c>
      <c r="T10" s="377">
        <f t="shared" si="4"/>
        <v>44.705882352941174</v>
      </c>
      <c r="U10" s="378">
        <f t="shared" si="4"/>
        <v>38.5</v>
      </c>
      <c r="V10" s="379">
        <f t="shared" si="4"/>
        <v>41.588235294117645</v>
      </c>
      <c r="W10" s="381">
        <f t="shared" si="4"/>
        <v>43.294117647058826</v>
      </c>
      <c r="X10" s="380">
        <f t="shared" si="4"/>
        <v>40.5</v>
      </c>
      <c r="Y10" s="733">
        <f t="shared" si="4"/>
        <v>45.071428571428569</v>
      </c>
      <c r="Z10" s="735">
        <f t="shared" si="4"/>
        <v>41.285714285714285</v>
      </c>
      <c r="AA10" s="336">
        <f t="shared" si="4"/>
        <v>36.875</v>
      </c>
      <c r="AB10" s="336">
        <f t="shared" si="4"/>
        <v>30.916666666666668</v>
      </c>
      <c r="AC10" s="342">
        <f t="shared" si="4"/>
        <v>41.76</v>
      </c>
      <c r="AD10" s="516"/>
      <c r="AE10" s="343">
        <f>MAX(P10:AC10)</f>
        <v>48</v>
      </c>
      <c r="AF10" s="516"/>
      <c r="AG10" s="631">
        <f t="shared" ref="AG10:AT11" si="5">P10/$AE10</f>
        <v>0.89166666666666661</v>
      </c>
      <c r="AH10" s="631">
        <f t="shared" si="5"/>
        <v>1</v>
      </c>
      <c r="AI10" s="631">
        <f t="shared" si="5"/>
        <v>0.9275000000000001</v>
      </c>
      <c r="AJ10" s="631">
        <f t="shared" si="5"/>
        <v>0.92438271604938282</v>
      </c>
      <c r="AK10" s="631">
        <f t="shared" si="5"/>
        <v>0.93137254901960775</v>
      </c>
      <c r="AL10" s="631">
        <f t="shared" si="5"/>
        <v>0.80208333333333337</v>
      </c>
      <c r="AM10" s="631">
        <f t="shared" si="5"/>
        <v>0.8664215686274509</v>
      </c>
      <c r="AN10" s="631">
        <f t="shared" si="5"/>
        <v>0.90196078431372551</v>
      </c>
      <c r="AO10" s="631">
        <f t="shared" si="5"/>
        <v>0.84375</v>
      </c>
      <c r="AP10" s="631">
        <f t="shared" si="5"/>
        <v>0.93898809523809523</v>
      </c>
      <c r="AQ10" s="631">
        <f t="shared" si="5"/>
        <v>0.86011904761904756</v>
      </c>
      <c r="AR10" s="631">
        <f t="shared" si="5"/>
        <v>0.76822916666666663</v>
      </c>
      <c r="AS10" s="631">
        <f t="shared" si="5"/>
        <v>0.64409722222222221</v>
      </c>
      <c r="AT10" s="672">
        <f t="shared" si="5"/>
        <v>0.87</v>
      </c>
      <c r="AU10" s="504"/>
    </row>
    <row r="11" spans="1:47" s="503" customFormat="1">
      <c r="A11" s="512" t="s">
        <v>40</v>
      </c>
      <c r="B11" s="335">
        <f>B9/B37</f>
        <v>5.931034482758621</v>
      </c>
      <c r="C11" s="337">
        <f>C9/C37</f>
        <v>4.5471698113207548</v>
      </c>
      <c r="D11" s="337">
        <f>D9/D37</f>
        <v>5.0677966101694913</v>
      </c>
      <c r="E11" s="336">
        <f>E9/E37</f>
        <v>3.5769230769230771</v>
      </c>
      <c r="F11" s="516"/>
      <c r="G11" s="343">
        <f>MAX(B11:E11)</f>
        <v>5.931034482758621</v>
      </c>
      <c r="H11" s="516"/>
      <c r="I11" s="505">
        <f t="shared" si="3"/>
        <v>1</v>
      </c>
      <c r="J11" s="578">
        <f t="shared" si="3"/>
        <v>0.76667397981570862</v>
      </c>
      <c r="K11" s="579">
        <f t="shared" si="3"/>
        <v>0.85445407962160025</v>
      </c>
      <c r="L11" s="578">
        <f t="shared" si="3"/>
        <v>0.60308586762075134</v>
      </c>
      <c r="M11" s="504"/>
      <c r="N11" s="344">
        <v>4.6590909090909092</v>
      </c>
      <c r="O11" s="626">
        <f t="shared" ref="O11:AC11" si="6">O9/O37</f>
        <v>5.6756756756756754</v>
      </c>
      <c r="P11" s="634">
        <f t="shared" si="6"/>
        <v>4.8198198198198199</v>
      </c>
      <c r="Q11" s="626">
        <f t="shared" si="6"/>
        <v>6.3157894736842106</v>
      </c>
      <c r="R11" s="345">
        <f t="shared" si="6"/>
        <v>5.3768115942028984</v>
      </c>
      <c r="S11" s="656">
        <f t="shared" si="6"/>
        <v>5.732057416267943</v>
      </c>
      <c r="T11" s="377">
        <f t="shared" si="6"/>
        <v>5.5072463768115938</v>
      </c>
      <c r="U11" s="378">
        <f t="shared" si="6"/>
        <v>4.0764705882352938</v>
      </c>
      <c r="V11" s="379">
        <f t="shared" si="6"/>
        <v>3.8216216216216217</v>
      </c>
      <c r="W11" s="381">
        <f t="shared" si="6"/>
        <v>4.779220779220779</v>
      </c>
      <c r="X11" s="380">
        <f t="shared" si="6"/>
        <v>4.4645669291338583</v>
      </c>
      <c r="Y11" s="733">
        <f t="shared" si="6"/>
        <v>4.3517241379310345</v>
      </c>
      <c r="Z11" s="735">
        <f t="shared" si="6"/>
        <v>4.1884057971014492</v>
      </c>
      <c r="AA11" s="336">
        <f t="shared" si="6"/>
        <v>4.3703703703703702</v>
      </c>
      <c r="AB11" s="336">
        <f t="shared" si="6"/>
        <v>3.5</v>
      </c>
      <c r="AC11" s="342">
        <f t="shared" si="6"/>
        <v>4.7239819004524888</v>
      </c>
      <c r="AD11" s="516"/>
      <c r="AE11" s="343">
        <f>MAX(P11:AC11)</f>
        <v>6.3157894736842106</v>
      </c>
      <c r="AF11" s="516"/>
      <c r="AG11" s="635">
        <f t="shared" si="5"/>
        <v>0.76313813813813813</v>
      </c>
      <c r="AH11" s="635">
        <f t="shared" si="5"/>
        <v>1</v>
      </c>
      <c r="AI11" s="635">
        <f t="shared" si="5"/>
        <v>0.85132850241545888</v>
      </c>
      <c r="AJ11" s="635">
        <f t="shared" si="5"/>
        <v>0.90757575757575759</v>
      </c>
      <c r="AK11" s="635">
        <f t="shared" si="5"/>
        <v>0.87198067632850229</v>
      </c>
      <c r="AL11" s="635">
        <f t="shared" si="5"/>
        <v>0.64544117647058818</v>
      </c>
      <c r="AM11" s="635">
        <f t="shared" si="5"/>
        <v>0.60509009009009007</v>
      </c>
      <c r="AN11" s="635">
        <f t="shared" si="5"/>
        <v>0.75670995670995667</v>
      </c>
      <c r="AO11" s="635">
        <f t="shared" si="5"/>
        <v>0.70688976377952761</v>
      </c>
      <c r="AP11" s="635">
        <f t="shared" si="5"/>
        <v>0.68902298850574717</v>
      </c>
      <c r="AQ11" s="635">
        <f t="shared" si="5"/>
        <v>0.66316425120772948</v>
      </c>
      <c r="AR11" s="635">
        <f t="shared" si="5"/>
        <v>0.69197530864197532</v>
      </c>
      <c r="AS11" s="635">
        <f t="shared" si="5"/>
        <v>0.5541666666666667</v>
      </c>
      <c r="AT11" s="673">
        <f t="shared" si="5"/>
        <v>0.74796380090497738</v>
      </c>
      <c r="AU11" s="504"/>
    </row>
    <row r="12" spans="1:47">
      <c r="A12" s="25" t="s">
        <v>39</v>
      </c>
      <c r="B12" s="508">
        <f>B9/B22</f>
        <v>6.7450980392156863</v>
      </c>
      <c r="C12" s="508">
        <f>C9/C22</f>
        <v>5.4772727272727275</v>
      </c>
      <c r="D12" s="27">
        <f>D9/D22</f>
        <v>6.1020408163265305</v>
      </c>
      <c r="E12" s="513">
        <f>E9/E22</f>
        <v>4.5365853658536581</v>
      </c>
      <c r="F12" s="1"/>
      <c r="H12" s="1"/>
      <c r="M12" s="506"/>
      <c r="N12" s="492">
        <v>6.2121212121212119</v>
      </c>
      <c r="O12" s="513">
        <f t="shared" ref="O12:AC12" si="7">O9/O22</f>
        <v>6.8478260869565215</v>
      </c>
      <c r="P12" s="513">
        <f t="shared" si="7"/>
        <v>5.7837837837837842</v>
      </c>
      <c r="Q12" s="626">
        <f t="shared" si="7"/>
        <v>7.1428571428571432</v>
      </c>
      <c r="R12" s="167">
        <f t="shared" si="7"/>
        <v>6.5087719298245617</v>
      </c>
      <c r="S12" s="191">
        <f t="shared" si="7"/>
        <v>6.9651162790697674</v>
      </c>
      <c r="T12" s="286">
        <f t="shared" si="7"/>
        <v>6.666666666666667</v>
      </c>
      <c r="U12" s="275">
        <f t="shared" si="7"/>
        <v>5.2105263157894735</v>
      </c>
      <c r="V12" s="301">
        <f t="shared" si="7"/>
        <v>4.7133333333333329</v>
      </c>
      <c r="W12" s="311">
        <f t="shared" si="7"/>
        <v>5.8879999999999999</v>
      </c>
      <c r="X12" s="321">
        <f t="shared" si="7"/>
        <v>5.7857142857142856</v>
      </c>
      <c r="Y12" s="774">
        <f t="shared" si="7"/>
        <v>5.8971962616822431</v>
      </c>
      <c r="Z12" s="788">
        <f t="shared" si="7"/>
        <v>5.3518518518518521</v>
      </c>
      <c r="AA12" s="513">
        <f t="shared" si="7"/>
        <v>5.6190476190476186</v>
      </c>
      <c r="AB12" s="513">
        <f t="shared" si="7"/>
        <v>5.1527777777777777</v>
      </c>
      <c r="AC12" s="149">
        <f t="shared" si="7"/>
        <v>5.8651685393258424</v>
      </c>
      <c r="AD12" s="1"/>
      <c r="AF12" s="1"/>
      <c r="AK12" s="502"/>
      <c r="AT12" s="146"/>
      <c r="AU12" s="506"/>
    </row>
    <row r="13" spans="1:47" s="2" customFormat="1" ht="6" customHeight="1">
      <c r="B13" s="506"/>
      <c r="C13" s="506"/>
      <c r="D13" s="506"/>
      <c r="E13" s="506"/>
      <c r="G13" s="506"/>
      <c r="I13" s="506"/>
      <c r="J13" s="506"/>
      <c r="K13" s="506"/>
      <c r="L13" s="506"/>
      <c r="M13" s="506"/>
      <c r="N13" s="233"/>
      <c r="O13" s="233"/>
      <c r="P13" s="506"/>
      <c r="Q13" s="506"/>
      <c r="R13" s="506"/>
      <c r="S13" s="506"/>
      <c r="T13" s="506"/>
      <c r="U13" s="506"/>
      <c r="V13" s="506"/>
      <c r="W13" s="506"/>
      <c r="X13" s="506"/>
      <c r="Y13" s="506"/>
      <c r="Z13" s="506"/>
      <c r="AA13" s="506"/>
      <c r="AB13" s="506"/>
      <c r="AE13" s="506"/>
      <c r="AG13" s="506"/>
      <c r="AH13" s="506"/>
      <c r="AI13" s="506"/>
      <c r="AJ13" s="506"/>
      <c r="AK13" s="506"/>
      <c r="AL13" s="506"/>
      <c r="AM13" s="506"/>
      <c r="AN13" s="506"/>
      <c r="AO13" s="506"/>
      <c r="AP13" s="506"/>
      <c r="AQ13" s="506"/>
      <c r="AR13" s="506"/>
      <c r="AS13" s="506"/>
      <c r="AT13" s="506"/>
      <c r="AU13" s="506"/>
    </row>
    <row r="14" spans="1:47" ht="15">
      <c r="A14" s="1" t="s">
        <v>38</v>
      </c>
      <c r="B14" s="19">
        <v>11</v>
      </c>
      <c r="C14" s="510">
        <v>7</v>
      </c>
      <c r="D14" s="19">
        <v>14</v>
      </c>
      <c r="E14" s="510">
        <v>3</v>
      </c>
      <c r="F14" s="1"/>
      <c r="G14" s="510"/>
      <c r="H14" s="1"/>
      <c r="I14" s="510"/>
      <c r="J14" s="510"/>
      <c r="K14" s="510"/>
      <c r="L14" s="510"/>
      <c r="M14" s="506"/>
      <c r="N14" s="230">
        <v>5</v>
      </c>
      <c r="O14" s="230">
        <v>2</v>
      </c>
      <c r="P14" s="510">
        <v>2</v>
      </c>
      <c r="Q14" s="195">
        <v>9</v>
      </c>
      <c r="R14" s="598">
        <v>2</v>
      </c>
      <c r="S14" s="649">
        <v>11</v>
      </c>
      <c r="T14" s="282">
        <v>1</v>
      </c>
      <c r="U14" s="271">
        <v>0</v>
      </c>
      <c r="V14" s="297">
        <v>1</v>
      </c>
      <c r="W14" s="307">
        <v>1</v>
      </c>
      <c r="X14" s="317">
        <v>0</v>
      </c>
      <c r="Y14" s="768">
        <v>1</v>
      </c>
      <c r="Z14" s="782">
        <v>0</v>
      </c>
      <c r="AA14" s="510">
        <v>1</v>
      </c>
      <c r="AB14" s="510">
        <v>0</v>
      </c>
      <c r="AC14" s="144">
        <v>1</v>
      </c>
      <c r="AD14" s="1"/>
      <c r="AE14" s="510"/>
      <c r="AF14" s="1"/>
      <c r="AG14" s="510"/>
      <c r="AH14" s="510"/>
      <c r="AI14" s="510"/>
      <c r="AJ14" s="510"/>
      <c r="AK14" s="510"/>
      <c r="AL14" s="510"/>
      <c r="AM14" s="510"/>
      <c r="AN14" s="510"/>
      <c r="AO14" s="510"/>
      <c r="AP14" s="510"/>
      <c r="AQ14" s="510"/>
      <c r="AR14" s="510"/>
      <c r="AS14" s="510"/>
      <c r="AT14" s="150"/>
      <c r="AU14" s="506"/>
    </row>
    <row r="15" spans="1:47" ht="15">
      <c r="A15" s="25" t="s">
        <v>37</v>
      </c>
      <c r="B15" s="11">
        <f>B14/B2</f>
        <v>0.44</v>
      </c>
      <c r="C15" s="507">
        <f>C14/C2</f>
        <v>0.28000000000000003</v>
      </c>
      <c r="D15" s="11">
        <f>D14/D2</f>
        <v>0.56000000000000005</v>
      </c>
      <c r="E15" s="507">
        <f>E14/E2</f>
        <v>0.12</v>
      </c>
      <c r="F15" s="1"/>
      <c r="G15" s="507"/>
      <c r="H15" s="1"/>
      <c r="I15" s="507"/>
      <c r="J15" s="507"/>
      <c r="K15" s="507"/>
      <c r="L15" s="507"/>
      <c r="M15" s="506"/>
      <c r="N15" s="241">
        <v>0.35714285714285715</v>
      </c>
      <c r="O15" s="489">
        <v>0.15384615384615385</v>
      </c>
      <c r="P15" s="507">
        <f t="shared" ref="P15:AC15" si="8">P14/P2</f>
        <v>0.08</v>
      </c>
      <c r="Q15" s="602">
        <f t="shared" si="8"/>
        <v>0.36</v>
      </c>
      <c r="R15" s="158">
        <f t="shared" si="8"/>
        <v>0.08</v>
      </c>
      <c r="S15" s="655">
        <f t="shared" si="8"/>
        <v>0.40740740740740738</v>
      </c>
      <c r="T15" s="287">
        <f t="shared" si="8"/>
        <v>5.8823529411764705E-2</v>
      </c>
      <c r="U15" s="276">
        <f t="shared" si="8"/>
        <v>0</v>
      </c>
      <c r="V15" s="302">
        <f t="shared" si="8"/>
        <v>5.8823529411764705E-2</v>
      </c>
      <c r="W15" s="312">
        <f t="shared" si="8"/>
        <v>5.8823529411764705E-2</v>
      </c>
      <c r="X15" s="322">
        <f t="shared" si="8"/>
        <v>0</v>
      </c>
      <c r="Y15" s="775">
        <f t="shared" si="8"/>
        <v>7.1428571428571425E-2</v>
      </c>
      <c r="Z15" s="789">
        <f t="shared" si="8"/>
        <v>0</v>
      </c>
      <c r="AA15" s="507">
        <f t="shared" si="8"/>
        <v>6.25E-2</v>
      </c>
      <c r="AB15" s="507">
        <f t="shared" si="8"/>
        <v>0</v>
      </c>
      <c r="AC15" s="145">
        <f t="shared" si="8"/>
        <v>0.04</v>
      </c>
      <c r="AD15" s="1"/>
      <c r="AE15" s="507"/>
      <c r="AF15" s="1"/>
      <c r="AG15" s="507"/>
      <c r="AH15" s="507"/>
      <c r="AI15" s="507"/>
      <c r="AJ15" s="507"/>
      <c r="AK15" s="507"/>
      <c r="AL15" s="507"/>
      <c r="AM15" s="507"/>
      <c r="AN15" s="507"/>
      <c r="AO15" s="507"/>
      <c r="AP15" s="507"/>
      <c r="AQ15" s="507"/>
      <c r="AR15" s="507"/>
      <c r="AS15" s="507"/>
      <c r="AT15" s="145"/>
      <c r="AU15" s="506"/>
    </row>
    <row r="16" spans="1:47" ht="15">
      <c r="A16" s="1" t="s">
        <v>36</v>
      </c>
      <c r="B16" s="510">
        <v>8</v>
      </c>
      <c r="C16" s="510">
        <v>11</v>
      </c>
      <c r="D16" s="510">
        <v>9</v>
      </c>
      <c r="E16" s="510">
        <v>13</v>
      </c>
      <c r="F16" s="1"/>
      <c r="H16" s="1"/>
      <c r="M16" s="506"/>
      <c r="N16" s="230">
        <v>26</v>
      </c>
      <c r="O16" s="230">
        <v>24</v>
      </c>
      <c r="P16" s="510">
        <f>B16+C16+D16+E16</f>
        <v>41</v>
      </c>
      <c r="Q16" s="195">
        <f>SUM('Einzelspielerprofile (5)'!N17:Q17)</f>
        <v>38</v>
      </c>
      <c r="R16" s="598">
        <f>SUM('Einzelspielerprofile (5)'!R17:W17)</f>
        <v>41</v>
      </c>
      <c r="S16" s="175">
        <f>SUM('Einzelspielerprofile (5)'!X17:AA17)</f>
        <v>49</v>
      </c>
      <c r="T16" s="282">
        <f>SUM('Einzelspielerprofile (5)'!AB17:AF17)</f>
        <v>27</v>
      </c>
      <c r="U16" s="271">
        <f>SUM('Einzelspielerprofile (5)'!AG17:AK17)</f>
        <v>37</v>
      </c>
      <c r="V16" s="297">
        <f>SUM('Einzelspielerprofile (5)'!AL17:AO17)</f>
        <v>41</v>
      </c>
      <c r="W16" s="307">
        <f>SUM('Einzelspielerprofile (5)'!AP17:AS17)</f>
        <v>33</v>
      </c>
      <c r="X16" s="317">
        <f>SUM('Einzelspielerprofile (5)'!AT17:AX17)</f>
        <v>23</v>
      </c>
      <c r="Y16" s="768">
        <f>SUM('Einzelspielerprofile (5)'!AY17:BB17)</f>
        <v>29</v>
      </c>
      <c r="Z16" s="782">
        <f>SUM('Einzelspielerprofile (5)'!BC17:BF17)</f>
        <v>22</v>
      </c>
      <c r="AA16" s="510">
        <f>SUM('Einzelspielerprofile (5)'!BG17:BJ17)</f>
        <v>5</v>
      </c>
      <c r="AB16" s="510">
        <f>SUM('Einzelspielerprofile (5)'!BK17:BP17)</f>
        <v>3</v>
      </c>
      <c r="AC16" s="144">
        <v>41</v>
      </c>
      <c r="AD16" s="1"/>
      <c r="AF16" s="1"/>
      <c r="AK16" s="502"/>
      <c r="AT16" s="146"/>
      <c r="AU16" s="506"/>
    </row>
    <row r="17" spans="1:47" ht="15">
      <c r="A17" s="25" t="s">
        <v>35</v>
      </c>
      <c r="B17" s="17">
        <f>B16-B3</f>
        <v>6</v>
      </c>
      <c r="C17" s="17">
        <f>C16-C3</f>
        <v>7</v>
      </c>
      <c r="D17" s="19">
        <f>D16-D3</f>
        <v>4</v>
      </c>
      <c r="E17" s="510">
        <f>E16-E3</f>
        <v>10</v>
      </c>
      <c r="F17" s="1"/>
      <c r="H17" s="1"/>
      <c r="M17" s="506"/>
      <c r="N17" s="230">
        <v>19</v>
      </c>
      <c r="O17" s="230">
        <v>13</v>
      </c>
      <c r="P17" s="510">
        <f t="shared" ref="P17:AC17" si="9">P16-P3</f>
        <v>27</v>
      </c>
      <c r="Q17" s="195">
        <f t="shared" si="9"/>
        <v>19</v>
      </c>
      <c r="R17" s="598">
        <f t="shared" si="9"/>
        <v>27</v>
      </c>
      <c r="S17" s="175">
        <f t="shared" si="9"/>
        <v>33</v>
      </c>
      <c r="T17" s="282">
        <f t="shared" si="9"/>
        <v>17</v>
      </c>
      <c r="U17" s="271">
        <f t="shared" si="9"/>
        <v>28</v>
      </c>
      <c r="V17" s="297">
        <f t="shared" si="9"/>
        <v>32</v>
      </c>
      <c r="W17" s="307">
        <f t="shared" si="9"/>
        <v>25</v>
      </c>
      <c r="X17" s="317">
        <f t="shared" si="9"/>
        <v>16</v>
      </c>
      <c r="Y17" s="768">
        <f t="shared" si="9"/>
        <v>22</v>
      </c>
      <c r="Z17" s="782">
        <f t="shared" si="9"/>
        <v>18</v>
      </c>
      <c r="AA17" s="510">
        <f t="shared" si="9"/>
        <v>2</v>
      </c>
      <c r="AB17" s="510">
        <f t="shared" si="9"/>
        <v>2</v>
      </c>
      <c r="AC17" s="150">
        <f t="shared" si="9"/>
        <v>30</v>
      </c>
      <c r="AD17" s="1"/>
      <c r="AF17" s="1"/>
      <c r="AK17" s="502"/>
      <c r="AT17" s="146"/>
      <c r="AU17" s="506"/>
    </row>
    <row r="18" spans="1:47" s="503" customFormat="1">
      <c r="A18" s="512" t="s">
        <v>34</v>
      </c>
      <c r="B18" s="505">
        <f>B3/B16</f>
        <v>0.25</v>
      </c>
      <c r="C18" s="578">
        <f>C3/C16</f>
        <v>0.36363636363636365</v>
      </c>
      <c r="D18" s="578">
        <f>D3/D16</f>
        <v>0.55555555555555558</v>
      </c>
      <c r="E18" s="579">
        <f>E3/E16</f>
        <v>0.23076923076923078</v>
      </c>
      <c r="F18" s="516"/>
      <c r="G18" s="331">
        <f>MAX(B18:E18)</f>
        <v>0.55555555555555558</v>
      </c>
      <c r="H18" s="516"/>
      <c r="I18" s="505">
        <f>B18/$G18</f>
        <v>0.44999999999999996</v>
      </c>
      <c r="J18" s="578">
        <f>C18/$G18</f>
        <v>0.65454545454545454</v>
      </c>
      <c r="K18" s="578">
        <f>D18/$G18</f>
        <v>1</v>
      </c>
      <c r="L18" s="579">
        <f>E18/$G18</f>
        <v>0.41538461538461541</v>
      </c>
      <c r="M18" s="504"/>
      <c r="N18" s="347">
        <v>0.26923076923076922</v>
      </c>
      <c r="O18" s="490">
        <v>0.45833333333333331</v>
      </c>
      <c r="P18" s="635">
        <f>P3/P16</f>
        <v>0.34146341463414637</v>
      </c>
      <c r="Q18" s="640">
        <f>Q3/Q16</f>
        <v>0.5</v>
      </c>
      <c r="R18" s="172">
        <f>R3/R16</f>
        <v>0.34146341463414637</v>
      </c>
      <c r="S18" s="181">
        <f>(S3-1)/S16</f>
        <v>0.30612244897959184</v>
      </c>
      <c r="T18" s="356">
        <f>T3/T16</f>
        <v>0.37037037037037035</v>
      </c>
      <c r="U18" s="357">
        <f>U3/U16</f>
        <v>0.24324324324324326</v>
      </c>
      <c r="V18" s="358">
        <f>V3/V16</f>
        <v>0.21951219512195122</v>
      </c>
      <c r="W18" s="360">
        <f>W3/W16</f>
        <v>0.24242424242424243</v>
      </c>
      <c r="X18" s="359">
        <f>(X3-1)/X16</f>
        <v>0.2608695652173913</v>
      </c>
      <c r="Y18" s="734">
        <f>(Y3-1)/Y16</f>
        <v>0.20689655172413793</v>
      </c>
      <c r="Z18" s="736">
        <f>Z3/Z16</f>
        <v>0.18181818181818182</v>
      </c>
      <c r="AA18" s="579">
        <f>AA3/AA16</f>
        <v>0.6</v>
      </c>
      <c r="AB18" s="579">
        <f>AB3/AB16</f>
        <v>0.33333333333333331</v>
      </c>
      <c r="AC18" s="334">
        <f>AC3/AC16</f>
        <v>0.26829268292682928</v>
      </c>
      <c r="AD18" s="516"/>
      <c r="AE18" s="331">
        <f>MAX(P18:AC18)</f>
        <v>0.6</v>
      </c>
      <c r="AF18" s="516"/>
      <c r="AG18" s="635">
        <f>P18/$AE18</f>
        <v>0.56910569105691067</v>
      </c>
      <c r="AH18" s="635">
        <f t="shared" ref="AH18:AT18" si="10">Q18/$AE18</f>
        <v>0.83333333333333337</v>
      </c>
      <c r="AI18" s="635">
        <f t="shared" si="10"/>
        <v>0.56910569105691067</v>
      </c>
      <c r="AJ18" s="635">
        <f t="shared" si="10"/>
        <v>0.51020408163265307</v>
      </c>
      <c r="AK18" s="635">
        <f t="shared" si="10"/>
        <v>0.61728395061728392</v>
      </c>
      <c r="AL18" s="635">
        <f t="shared" si="10"/>
        <v>0.40540540540540543</v>
      </c>
      <c r="AM18" s="635">
        <f t="shared" si="10"/>
        <v>0.36585365853658536</v>
      </c>
      <c r="AN18" s="635">
        <f t="shared" si="10"/>
        <v>0.40404040404040409</v>
      </c>
      <c r="AO18" s="635">
        <f t="shared" si="10"/>
        <v>0.43478260869565216</v>
      </c>
      <c r="AP18" s="635">
        <f t="shared" si="10"/>
        <v>0.34482758620689657</v>
      </c>
      <c r="AQ18" s="635">
        <f t="shared" si="10"/>
        <v>0.30303030303030304</v>
      </c>
      <c r="AR18" s="635">
        <f t="shared" si="10"/>
        <v>1</v>
      </c>
      <c r="AS18" s="635">
        <f t="shared" si="10"/>
        <v>0.55555555555555558</v>
      </c>
      <c r="AT18" s="673">
        <f t="shared" si="10"/>
        <v>0.44715447154471549</v>
      </c>
      <c r="AU18" s="504"/>
    </row>
    <row r="19" spans="1:47" ht="15">
      <c r="A19" s="1" t="s">
        <v>33</v>
      </c>
      <c r="B19" s="17">
        <v>1</v>
      </c>
      <c r="C19" s="17">
        <v>1</v>
      </c>
      <c r="D19" s="17">
        <v>2</v>
      </c>
      <c r="E19" s="510">
        <v>1</v>
      </c>
      <c r="F19" s="1"/>
      <c r="H19" s="1"/>
      <c r="M19" s="506"/>
      <c r="N19" s="230">
        <v>5</v>
      </c>
      <c r="O19" s="230">
        <v>8</v>
      </c>
      <c r="P19" s="510">
        <v>5</v>
      </c>
      <c r="Q19" s="195">
        <v>4</v>
      </c>
      <c r="R19" s="598">
        <v>4</v>
      </c>
      <c r="S19" s="175">
        <v>5</v>
      </c>
      <c r="T19" s="282">
        <v>5</v>
      </c>
      <c r="U19" s="271">
        <v>10</v>
      </c>
      <c r="V19" s="297">
        <v>6</v>
      </c>
      <c r="W19" s="307">
        <v>7</v>
      </c>
      <c r="X19" s="317">
        <v>6</v>
      </c>
      <c r="Y19" s="768">
        <v>7</v>
      </c>
      <c r="Z19" s="782">
        <v>7</v>
      </c>
      <c r="AA19" s="510">
        <v>2</v>
      </c>
      <c r="AB19" s="510">
        <v>2</v>
      </c>
      <c r="AC19" s="144">
        <v>4</v>
      </c>
      <c r="AD19" s="1"/>
      <c r="AF19" s="1"/>
      <c r="AK19" s="502"/>
      <c r="AT19" s="146"/>
      <c r="AU19" s="506"/>
    </row>
    <row r="20" spans="1:47" ht="15">
      <c r="A20" s="25" t="s">
        <v>32</v>
      </c>
      <c r="B20" s="513">
        <f>B16/B2</f>
        <v>0.32</v>
      </c>
      <c r="C20" s="513">
        <f>C16/C2</f>
        <v>0.44</v>
      </c>
      <c r="D20" s="513">
        <f>D16/D2</f>
        <v>0.36</v>
      </c>
      <c r="E20" s="508">
        <f>E16/E2</f>
        <v>0.52</v>
      </c>
      <c r="F20" s="1"/>
      <c r="H20" s="1"/>
      <c r="M20" s="506"/>
      <c r="N20" s="243">
        <v>1.8571428571428572</v>
      </c>
      <c r="O20" s="492">
        <v>1.8461538461538463</v>
      </c>
      <c r="P20" s="508">
        <f t="shared" ref="P20:AC20" si="11">P16/P2</f>
        <v>1.64</v>
      </c>
      <c r="Q20" s="207">
        <f t="shared" si="11"/>
        <v>1.52</v>
      </c>
      <c r="R20" s="163">
        <f t="shared" si="11"/>
        <v>1.64</v>
      </c>
      <c r="S20" s="187">
        <f t="shared" si="11"/>
        <v>1.8148148148148149</v>
      </c>
      <c r="T20" s="284">
        <f t="shared" si="11"/>
        <v>1.588235294117647</v>
      </c>
      <c r="U20" s="273">
        <f t="shared" si="11"/>
        <v>2.0555555555555554</v>
      </c>
      <c r="V20" s="299">
        <f t="shared" si="11"/>
        <v>2.4117647058823528</v>
      </c>
      <c r="W20" s="309">
        <f t="shared" si="11"/>
        <v>1.9411764705882353</v>
      </c>
      <c r="X20" s="319">
        <f t="shared" si="11"/>
        <v>1.6428571428571428</v>
      </c>
      <c r="Y20" s="776">
        <f t="shared" si="11"/>
        <v>2.0714285714285716</v>
      </c>
      <c r="Z20" s="790">
        <f t="shared" si="11"/>
        <v>1.5714285714285714</v>
      </c>
      <c r="AA20" s="508">
        <f t="shared" si="11"/>
        <v>0.3125</v>
      </c>
      <c r="AB20" s="508">
        <f t="shared" si="11"/>
        <v>0.25</v>
      </c>
      <c r="AC20" s="147">
        <f t="shared" si="11"/>
        <v>1.64</v>
      </c>
      <c r="AD20" s="1"/>
      <c r="AF20" s="1"/>
      <c r="AK20" s="502"/>
      <c r="AT20" s="146"/>
      <c r="AU20" s="506"/>
    </row>
    <row r="21" spans="1:47" s="2" customFormat="1" ht="6" customHeight="1">
      <c r="B21" s="506"/>
      <c r="C21" s="506"/>
      <c r="D21" s="506"/>
      <c r="E21" s="506"/>
      <c r="G21" s="506"/>
      <c r="I21" s="506"/>
      <c r="J21" s="506"/>
      <c r="K21" s="506"/>
      <c r="L21" s="506"/>
      <c r="M21" s="506"/>
      <c r="N21" s="233"/>
      <c r="O21" s="233"/>
      <c r="P21" s="506"/>
      <c r="Q21" s="506"/>
      <c r="R21" s="506"/>
      <c r="S21" s="506"/>
      <c r="T21" s="506"/>
      <c r="U21" s="506"/>
      <c r="V21" s="506"/>
      <c r="W21" s="506"/>
      <c r="X21" s="506"/>
      <c r="Y21" s="506"/>
      <c r="Z21" s="506"/>
      <c r="AA21" s="506"/>
      <c r="AB21" s="506"/>
      <c r="AE21" s="506"/>
      <c r="AG21" s="506"/>
      <c r="AH21" s="506"/>
      <c r="AI21" s="506"/>
      <c r="AJ21" s="506"/>
      <c r="AK21" s="506"/>
      <c r="AL21" s="506"/>
      <c r="AM21" s="506"/>
      <c r="AN21" s="506"/>
      <c r="AO21" s="506"/>
      <c r="AP21" s="506"/>
      <c r="AQ21" s="506"/>
      <c r="AR21" s="506"/>
      <c r="AS21" s="506"/>
      <c r="AT21" s="506"/>
      <c r="AU21" s="506"/>
    </row>
    <row r="22" spans="1:47" ht="15">
      <c r="A22" s="25" t="s">
        <v>31</v>
      </c>
      <c r="B22" s="19">
        <f>B37-B23</f>
        <v>51</v>
      </c>
      <c r="C22" s="19">
        <f>C37-C23</f>
        <v>44</v>
      </c>
      <c r="D22" s="17">
        <f>D37-D23</f>
        <v>49</v>
      </c>
      <c r="E22" s="510">
        <f>E37-E23</f>
        <v>41</v>
      </c>
      <c r="F22" s="1"/>
      <c r="H22" s="1"/>
      <c r="M22" s="506"/>
      <c r="N22" s="230">
        <v>99</v>
      </c>
      <c r="O22" s="230">
        <v>92</v>
      </c>
      <c r="P22" s="510">
        <f t="shared" ref="P22:AC22" si="12">P37-P23</f>
        <v>185</v>
      </c>
      <c r="Q22" s="195">
        <f t="shared" si="12"/>
        <v>168</v>
      </c>
      <c r="R22" s="598">
        <f t="shared" si="12"/>
        <v>171</v>
      </c>
      <c r="S22" s="175">
        <f t="shared" si="12"/>
        <v>172</v>
      </c>
      <c r="T22" s="282">
        <f t="shared" si="12"/>
        <v>114</v>
      </c>
      <c r="U22" s="271">
        <f t="shared" si="12"/>
        <v>133</v>
      </c>
      <c r="V22" s="297">
        <f t="shared" si="12"/>
        <v>150</v>
      </c>
      <c r="W22" s="307">
        <f t="shared" si="12"/>
        <v>125</v>
      </c>
      <c r="X22" s="317">
        <f t="shared" si="12"/>
        <v>98</v>
      </c>
      <c r="Y22" s="768">
        <f t="shared" si="12"/>
        <v>107</v>
      </c>
      <c r="Z22" s="782">
        <f t="shared" si="12"/>
        <v>108</v>
      </c>
      <c r="AA22" s="510">
        <f t="shared" si="12"/>
        <v>105</v>
      </c>
      <c r="AB22" s="510">
        <f t="shared" si="12"/>
        <v>72</v>
      </c>
      <c r="AC22" s="150">
        <f t="shared" si="12"/>
        <v>178</v>
      </c>
      <c r="AD22" s="1"/>
      <c r="AF22" s="1"/>
      <c r="AK22" s="502"/>
      <c r="AT22" s="146"/>
      <c r="AU22" s="506"/>
    </row>
    <row r="23" spans="1:47" ht="15">
      <c r="A23" s="1" t="s">
        <v>30</v>
      </c>
      <c r="B23" s="22">
        <f>Auswertung!AC14</f>
        <v>7</v>
      </c>
      <c r="C23" s="22">
        <f>Auswertung!AC22</f>
        <v>9</v>
      </c>
      <c r="D23" s="21">
        <f>Auswertung!AC30</f>
        <v>10</v>
      </c>
      <c r="E23" s="511">
        <f>Auswertung!AC38</f>
        <v>11</v>
      </c>
      <c r="F23" s="1"/>
      <c r="H23" s="1"/>
      <c r="M23" s="506"/>
      <c r="N23" s="234">
        <v>33</v>
      </c>
      <c r="O23" s="234">
        <v>19</v>
      </c>
      <c r="P23" s="511">
        <f>SUM(B23:E23)</f>
        <v>37</v>
      </c>
      <c r="Q23" s="210">
        <f>Auswertung!AC54</f>
        <v>22</v>
      </c>
      <c r="R23" s="166">
        <f>Auswertung!AC94</f>
        <v>36</v>
      </c>
      <c r="S23" s="190">
        <f>Auswertung!AC150</f>
        <v>37</v>
      </c>
      <c r="T23" s="285">
        <f>Auswertung!AC190</f>
        <v>24</v>
      </c>
      <c r="U23" s="274">
        <f>Auswertung!AC238</f>
        <v>37</v>
      </c>
      <c r="V23" s="300">
        <f>Auswertung!AC286</f>
        <v>35</v>
      </c>
      <c r="W23" s="310">
        <f>Auswertung!AC326</f>
        <v>29</v>
      </c>
      <c r="X23" s="320">
        <f>Auswertung!AC366</f>
        <v>29</v>
      </c>
      <c r="Y23" s="773">
        <f>Auswertung!AC414</f>
        <v>38</v>
      </c>
      <c r="Z23" s="787">
        <f>Auswertung!AC454</f>
        <v>30</v>
      </c>
      <c r="AA23" s="511">
        <f>Auswertung!AC494</f>
        <v>30</v>
      </c>
      <c r="AB23" s="511">
        <f>Auswertung!AC534</f>
        <v>34</v>
      </c>
      <c r="AC23" s="148">
        <f>Auswertung!AC46</f>
        <v>43</v>
      </c>
      <c r="AD23" s="1"/>
      <c r="AF23" s="1"/>
      <c r="AK23" s="502"/>
      <c r="AT23" s="146"/>
      <c r="AU23" s="506"/>
    </row>
    <row r="24" spans="1:47" s="503" customFormat="1">
      <c r="A24" s="512" t="s">
        <v>29</v>
      </c>
      <c r="B24" s="579">
        <f>B23/B37</f>
        <v>0.1206896551724138</v>
      </c>
      <c r="C24" s="579">
        <f>C23/C37</f>
        <v>0.16981132075471697</v>
      </c>
      <c r="D24" s="579">
        <f>D23/D37</f>
        <v>0.16949152542372881</v>
      </c>
      <c r="E24" s="578">
        <f>E23/E37</f>
        <v>0.21153846153846154</v>
      </c>
      <c r="F24" s="516"/>
      <c r="G24" s="627">
        <f>MIN(B24:E24)</f>
        <v>0.1206896551724138</v>
      </c>
      <c r="H24" s="516"/>
      <c r="I24" s="505">
        <f>$G24/B24</f>
        <v>1</v>
      </c>
      <c r="J24" s="579">
        <f>$G24/C24</f>
        <v>0.71072796934865912</v>
      </c>
      <c r="K24" s="505">
        <f>$G24/D24</f>
        <v>0.71206896551724141</v>
      </c>
      <c r="L24" s="578">
        <f>$G24/E24</f>
        <v>0.57053291536050155</v>
      </c>
      <c r="M24" s="504"/>
      <c r="N24" s="625">
        <v>0.25</v>
      </c>
      <c r="O24" s="491">
        <v>0.16666666666666666</v>
      </c>
      <c r="P24" s="227">
        <f t="shared" ref="P24:AC24" si="13">P23/P37</f>
        <v>0.16666666666666666</v>
      </c>
      <c r="Q24" s="640">
        <f t="shared" si="13"/>
        <v>0.11578947368421053</v>
      </c>
      <c r="R24" s="599">
        <f t="shared" si="13"/>
        <v>0.17391304347826086</v>
      </c>
      <c r="S24" s="601">
        <f t="shared" si="13"/>
        <v>0.17703349282296652</v>
      </c>
      <c r="T24" s="404">
        <f t="shared" si="13"/>
        <v>0.17391304347826086</v>
      </c>
      <c r="U24" s="399">
        <f t="shared" si="13"/>
        <v>0.21764705882352942</v>
      </c>
      <c r="V24" s="401">
        <f t="shared" si="13"/>
        <v>0.1891891891891892</v>
      </c>
      <c r="W24" s="403">
        <f t="shared" si="13"/>
        <v>0.18831168831168832</v>
      </c>
      <c r="X24" s="402">
        <f t="shared" si="13"/>
        <v>0.2283464566929134</v>
      </c>
      <c r="Y24" s="769">
        <f t="shared" si="13"/>
        <v>0.2620689655172414</v>
      </c>
      <c r="Z24" s="783">
        <f t="shared" si="13"/>
        <v>0.21739130434782608</v>
      </c>
      <c r="AA24" s="578">
        <f t="shared" si="13"/>
        <v>0.22222222222222221</v>
      </c>
      <c r="AB24" s="578">
        <f t="shared" si="13"/>
        <v>0.32075471698113206</v>
      </c>
      <c r="AC24" s="597">
        <f t="shared" si="13"/>
        <v>0.19457013574660634</v>
      </c>
      <c r="AD24" s="516"/>
      <c r="AE24" s="627">
        <f>MIN(P24:AC24)</f>
        <v>0.11578947368421053</v>
      </c>
      <c r="AF24" s="516"/>
      <c r="AG24" s="631">
        <f>$AE24/P24</f>
        <v>0.69473684210526321</v>
      </c>
      <c r="AH24" s="631">
        <f t="shared" ref="AH24:AT24" si="14">$AE24/Q24</f>
        <v>1</v>
      </c>
      <c r="AI24" s="631">
        <f t="shared" si="14"/>
        <v>0.66578947368421049</v>
      </c>
      <c r="AJ24" s="631">
        <f t="shared" si="14"/>
        <v>0.65405405405405403</v>
      </c>
      <c r="AK24" s="631">
        <f t="shared" si="14"/>
        <v>0.66578947368421049</v>
      </c>
      <c r="AL24" s="631">
        <f t="shared" si="14"/>
        <v>0.53200568990042674</v>
      </c>
      <c r="AM24" s="631">
        <f t="shared" si="14"/>
        <v>0.61203007518796992</v>
      </c>
      <c r="AN24" s="631">
        <f t="shared" si="14"/>
        <v>0.61488203266787655</v>
      </c>
      <c r="AO24" s="631">
        <f t="shared" si="14"/>
        <v>0.50707803992740474</v>
      </c>
      <c r="AP24" s="631">
        <f t="shared" si="14"/>
        <v>0.44182825484764537</v>
      </c>
      <c r="AQ24" s="631">
        <f t="shared" si="14"/>
        <v>0.53263157894736846</v>
      </c>
      <c r="AR24" s="631">
        <f t="shared" si="14"/>
        <v>0.52105263157894743</v>
      </c>
      <c r="AS24" s="631">
        <f t="shared" si="14"/>
        <v>0.36099071207430344</v>
      </c>
      <c r="AT24" s="672">
        <f t="shared" si="14"/>
        <v>0.59510403916768662</v>
      </c>
      <c r="AU24" s="504"/>
    </row>
    <row r="25" spans="1:47" ht="15">
      <c r="A25" s="25" t="s">
        <v>28</v>
      </c>
      <c r="B25" s="508">
        <f>B23/B2</f>
        <v>0.28000000000000003</v>
      </c>
      <c r="C25" s="508">
        <f>C23/C2</f>
        <v>0.36</v>
      </c>
      <c r="D25" s="513">
        <f>D23/D2</f>
        <v>0.4</v>
      </c>
      <c r="E25" s="513">
        <f>E23/E2</f>
        <v>0.44</v>
      </c>
      <c r="F25" s="1"/>
      <c r="H25" s="1"/>
      <c r="M25" s="506"/>
      <c r="N25" s="239">
        <v>2.3571428571428572</v>
      </c>
      <c r="O25" s="496">
        <f t="shared" ref="O25:AC25" si="15">O23/O2</f>
        <v>1.4615384615384615</v>
      </c>
      <c r="P25" s="513">
        <f t="shared" si="15"/>
        <v>1.48</v>
      </c>
      <c r="Q25" s="211">
        <f t="shared" si="15"/>
        <v>0.88</v>
      </c>
      <c r="R25" s="167">
        <f t="shared" si="15"/>
        <v>1.44</v>
      </c>
      <c r="S25" s="191">
        <f t="shared" si="15"/>
        <v>1.3703703703703705</v>
      </c>
      <c r="T25" s="286">
        <f t="shared" si="15"/>
        <v>1.411764705882353</v>
      </c>
      <c r="U25" s="275">
        <f t="shared" si="15"/>
        <v>2.0555555555555554</v>
      </c>
      <c r="V25" s="301">
        <f t="shared" si="15"/>
        <v>2.0588235294117645</v>
      </c>
      <c r="W25" s="311">
        <f t="shared" si="15"/>
        <v>1.7058823529411764</v>
      </c>
      <c r="X25" s="321">
        <f t="shared" si="15"/>
        <v>2.0714285714285716</v>
      </c>
      <c r="Y25" s="774">
        <f t="shared" si="15"/>
        <v>2.7142857142857144</v>
      </c>
      <c r="Z25" s="788">
        <f t="shared" si="15"/>
        <v>2.1428571428571428</v>
      </c>
      <c r="AA25" s="513">
        <f t="shared" si="15"/>
        <v>1.875</v>
      </c>
      <c r="AB25" s="513">
        <f t="shared" si="15"/>
        <v>2.8333333333333335</v>
      </c>
      <c r="AC25" s="149">
        <f t="shared" si="15"/>
        <v>1.72</v>
      </c>
      <c r="AD25" s="1"/>
      <c r="AF25" s="1"/>
      <c r="AK25" s="502"/>
      <c r="AT25" s="146"/>
      <c r="AU25" s="506"/>
    </row>
    <row r="26" spans="1:47" ht="15">
      <c r="A26" s="1" t="s">
        <v>27</v>
      </c>
      <c r="B26" s="19">
        <v>19</v>
      </c>
      <c r="C26" s="19">
        <v>16</v>
      </c>
      <c r="D26" s="17">
        <v>16</v>
      </c>
      <c r="E26" s="510">
        <v>14</v>
      </c>
      <c r="F26" s="1"/>
      <c r="H26" s="1"/>
      <c r="M26" s="506"/>
      <c r="N26" s="230">
        <v>3</v>
      </c>
      <c r="O26" s="230">
        <v>3</v>
      </c>
      <c r="P26" s="510">
        <v>3</v>
      </c>
      <c r="Q26" s="195">
        <v>10</v>
      </c>
      <c r="R26" s="598">
        <v>5</v>
      </c>
      <c r="S26" s="175">
        <v>5</v>
      </c>
      <c r="T26" s="282">
        <v>5</v>
      </c>
      <c r="U26" s="271">
        <v>1</v>
      </c>
      <c r="V26" s="297">
        <v>2</v>
      </c>
      <c r="W26" s="307">
        <v>3</v>
      </c>
      <c r="X26" s="317">
        <v>2</v>
      </c>
      <c r="Y26" s="768">
        <v>1</v>
      </c>
      <c r="Z26" s="782">
        <v>3</v>
      </c>
      <c r="AA26" s="510">
        <v>2</v>
      </c>
      <c r="AB26" s="510">
        <v>0</v>
      </c>
      <c r="AC26" s="144">
        <v>2</v>
      </c>
      <c r="AD26" s="1"/>
      <c r="AF26" s="1"/>
      <c r="AK26" s="502"/>
      <c r="AT26" s="146"/>
      <c r="AU26" s="506"/>
    </row>
    <row r="27" spans="1:47" ht="15">
      <c r="A27" s="25" t="s">
        <v>26</v>
      </c>
      <c r="B27" s="11">
        <f>B26/B2</f>
        <v>0.76</v>
      </c>
      <c r="C27" s="11">
        <f>C26/C2</f>
        <v>0.64</v>
      </c>
      <c r="D27" s="507">
        <f>D26/D2</f>
        <v>0.64</v>
      </c>
      <c r="E27" s="509">
        <f>E26/E2</f>
        <v>0.56000000000000005</v>
      </c>
      <c r="F27" s="1"/>
      <c r="H27" s="1"/>
      <c r="M27" s="506"/>
      <c r="N27" s="240">
        <v>0.21428571428571427</v>
      </c>
      <c r="O27" s="494">
        <v>0.23076923076923078</v>
      </c>
      <c r="P27" s="509">
        <f t="shared" ref="P27:AC27" si="16">P26/P2</f>
        <v>0.12</v>
      </c>
      <c r="Q27" s="654">
        <f t="shared" si="16"/>
        <v>0.4</v>
      </c>
      <c r="R27" s="670">
        <f t="shared" si="16"/>
        <v>0.2</v>
      </c>
      <c r="S27" s="177">
        <f t="shared" si="16"/>
        <v>0.18518518518518517</v>
      </c>
      <c r="T27" s="288">
        <f t="shared" si="16"/>
        <v>0.29411764705882354</v>
      </c>
      <c r="U27" s="277">
        <f t="shared" si="16"/>
        <v>5.5555555555555552E-2</v>
      </c>
      <c r="V27" s="292">
        <f t="shared" si="16"/>
        <v>0.11764705882352941</v>
      </c>
      <c r="W27" s="295">
        <f t="shared" si="16"/>
        <v>0.17647058823529413</v>
      </c>
      <c r="X27" s="323">
        <f t="shared" si="16"/>
        <v>0.14285714285714285</v>
      </c>
      <c r="Y27" s="777">
        <f t="shared" si="16"/>
        <v>7.1428571428571425E-2</v>
      </c>
      <c r="Z27" s="791">
        <f t="shared" si="16"/>
        <v>0.21428571428571427</v>
      </c>
      <c r="AA27" s="509">
        <f t="shared" si="16"/>
        <v>0.125</v>
      </c>
      <c r="AB27" s="509">
        <f t="shared" si="16"/>
        <v>0</v>
      </c>
      <c r="AC27" s="151">
        <f t="shared" si="16"/>
        <v>0.08</v>
      </c>
      <c r="AD27" s="1"/>
      <c r="AF27" s="1"/>
      <c r="AK27" s="502"/>
      <c r="AT27" s="146"/>
      <c r="AU27" s="506"/>
    </row>
    <row r="28" spans="1:47" ht="15">
      <c r="A28" s="20" t="s">
        <v>25</v>
      </c>
      <c r="B28" s="19">
        <v>0</v>
      </c>
      <c r="C28" s="19">
        <v>1</v>
      </c>
      <c r="D28" s="510">
        <v>0</v>
      </c>
      <c r="E28" s="19">
        <v>1</v>
      </c>
      <c r="F28" s="1"/>
      <c r="H28" s="1"/>
      <c r="M28" s="506"/>
      <c r="N28" s="238">
        <v>1</v>
      </c>
      <c r="O28" s="495">
        <v>0</v>
      </c>
      <c r="P28" s="511">
        <f>SUM(B28:E28)</f>
        <v>2</v>
      </c>
      <c r="Q28" s="210">
        <f>SUM('Einzelspielerprofile (5)'!N29:Q29)</f>
        <v>0</v>
      </c>
      <c r="R28" s="166">
        <f>SUM('Einzelspielerprofile (5)'!R29:W29)</f>
        <v>0</v>
      </c>
      <c r="S28" s="190">
        <f>SUM('Einzelspielerprofile (5)'!X29:AA29)</f>
        <v>2</v>
      </c>
      <c r="T28" s="285">
        <f>SUM('Einzelspielerprofile (5)'!AB29:AF29)</f>
        <v>1</v>
      </c>
      <c r="U28" s="274">
        <f>SUM('Einzelspielerprofile (5)'!AG29:AK29)</f>
        <v>3</v>
      </c>
      <c r="V28" s="300">
        <f>SUM('Einzelspielerprofile (5)'!AL29:AO29)</f>
        <v>9</v>
      </c>
      <c r="W28" s="310">
        <f>SUM('Einzelspielerprofile (5)'!AP29:AS29)</f>
        <v>0</v>
      </c>
      <c r="X28" s="320">
        <f>SUM('Einzelspielerprofile (5)'!AT29:AX29)</f>
        <v>1</v>
      </c>
      <c r="Y28" s="773">
        <f>SUM('Einzelspielerprofile (5)'!AY29:BB29)</f>
        <v>1</v>
      </c>
      <c r="Z28" s="787">
        <f>SUM('Einzelspielerprofile (5)'!BC29:BF29)</f>
        <v>0</v>
      </c>
      <c r="AA28" s="511">
        <f>SUM('Einzelspielerprofile (5)'!BG29:BJ29)</f>
        <v>0</v>
      </c>
      <c r="AB28" s="511">
        <f>SUM('Einzelspielerprofile (5)'!BK29:BP29)</f>
        <v>1</v>
      </c>
      <c r="AC28" s="144">
        <v>1</v>
      </c>
      <c r="AD28" s="1"/>
      <c r="AF28" s="1"/>
      <c r="AK28" s="502"/>
      <c r="AT28" s="146"/>
      <c r="AU28" s="506"/>
    </row>
    <row r="29" spans="1:47" ht="15">
      <c r="A29" s="1" t="s">
        <v>24</v>
      </c>
      <c r="B29" s="510">
        <v>0</v>
      </c>
      <c r="C29" s="510">
        <v>0</v>
      </c>
      <c r="D29" s="510">
        <v>0</v>
      </c>
      <c r="E29" s="510">
        <v>0</v>
      </c>
      <c r="F29" s="1"/>
      <c r="H29" s="1"/>
      <c r="M29" s="506"/>
      <c r="N29" s="238">
        <v>1</v>
      </c>
      <c r="O29" s="495">
        <v>0</v>
      </c>
      <c r="P29" s="511">
        <f>SUM(B29:E29)</f>
        <v>0</v>
      </c>
      <c r="Q29" s="210">
        <f>SUM('Einzelspielerprofile (5)'!N30:Q30)</f>
        <v>0</v>
      </c>
      <c r="R29" s="166">
        <f>SUM('Einzelspielerprofile (5)'!R30:W30)</f>
        <v>0</v>
      </c>
      <c r="S29" s="190">
        <f>SUM('Einzelspielerprofile (5)'!X30:AA30)</f>
        <v>0</v>
      </c>
      <c r="T29" s="285">
        <f>SUM('Einzelspielerprofile (5)'!AB30:AF30)</f>
        <v>0</v>
      </c>
      <c r="U29" s="274">
        <f>SUM('Einzelspielerprofile (5)'!AG30:AK30)</f>
        <v>1</v>
      </c>
      <c r="V29" s="300">
        <f>SUM('Einzelspielerprofile (5)'!AL30:AO30)</f>
        <v>0</v>
      </c>
      <c r="W29" s="310">
        <f>SUM('Einzelspielerprofile (5)'!AP30:AS30)</f>
        <v>0</v>
      </c>
      <c r="X29" s="320">
        <f>SUM('Einzelspielerprofile (5)'!AT30:AX30)</f>
        <v>0</v>
      </c>
      <c r="Y29" s="773">
        <f>SUM('Einzelspielerprofile (5)'!AY30:BB30)</f>
        <v>1</v>
      </c>
      <c r="Z29" s="787">
        <f>SUM('Einzelspielerprofile (5)'!BC30:BF30)</f>
        <v>0</v>
      </c>
      <c r="AA29" s="511">
        <f>SUM('Einzelspielerprofile (5)'!BG30:BJ30)</f>
        <v>0</v>
      </c>
      <c r="AB29" s="511">
        <f>SUM('Einzelspielerprofile (5)'!BK30:BP30)</f>
        <v>1</v>
      </c>
      <c r="AC29" s="144">
        <v>0</v>
      </c>
      <c r="AD29" s="1"/>
      <c r="AF29" s="1"/>
      <c r="AK29" s="502"/>
      <c r="AT29" s="146"/>
      <c r="AU29" s="506"/>
    </row>
    <row r="30" spans="1:47" ht="15">
      <c r="A30" s="1" t="s">
        <v>23</v>
      </c>
      <c r="B30" s="19">
        <v>4</v>
      </c>
      <c r="C30" s="19">
        <v>3</v>
      </c>
      <c r="D30" s="510">
        <v>0</v>
      </c>
      <c r="E30" s="17">
        <v>3</v>
      </c>
      <c r="F30" s="1"/>
      <c r="H30" s="1"/>
      <c r="M30" s="506"/>
      <c r="N30" s="234">
        <v>13</v>
      </c>
      <c r="O30" s="234">
        <v>7</v>
      </c>
      <c r="P30" s="511">
        <f>SUM(B30:E30)</f>
        <v>10</v>
      </c>
      <c r="Q30" s="210">
        <f>SUM('Einzelspielerprofile (5)'!N31:Q31)</f>
        <v>11</v>
      </c>
      <c r="R30" s="166">
        <f>SUM('Einzelspielerprofile (5)'!R31:W31)</f>
        <v>10</v>
      </c>
      <c r="S30" s="190">
        <f>SUM('Einzelspielerprofile (5)'!X31:AA31)</f>
        <v>25</v>
      </c>
      <c r="T30" s="285">
        <f>SUM('Einzelspielerprofile (5)'!AB31:AF31)</f>
        <v>13</v>
      </c>
      <c r="U30" s="274">
        <f>SUM('Einzelspielerprofile (5)'!AG31:AK31)</f>
        <v>9</v>
      </c>
      <c r="V30" s="300">
        <f>SUM('Einzelspielerprofile (5)'!AL31:AO31)</f>
        <v>13</v>
      </c>
      <c r="W30" s="310">
        <f>SUM('Einzelspielerprofile (5)'!AP31:AS31)</f>
        <v>5</v>
      </c>
      <c r="X30" s="320">
        <f>SUM('Einzelspielerprofile (5)'!AT31:AX31)</f>
        <v>1</v>
      </c>
      <c r="Y30" s="773">
        <f>SUM('Einzelspielerprofile (5)'!AY31:BB31)</f>
        <v>8</v>
      </c>
      <c r="Z30" s="787">
        <f>SUM('Einzelspielerprofile (5)'!BC31:BF31)</f>
        <v>5</v>
      </c>
      <c r="AA30" s="511">
        <f>SUM('Einzelspielerprofile (5)'!BG31:BJ31)</f>
        <v>3</v>
      </c>
      <c r="AB30" s="511">
        <f>SUM('Einzelspielerprofile (5)'!BK31:BP31)</f>
        <v>6</v>
      </c>
      <c r="AC30" s="144">
        <v>3</v>
      </c>
      <c r="AD30" s="1"/>
      <c r="AF30" s="1"/>
      <c r="AK30" s="502"/>
      <c r="AT30" s="146"/>
      <c r="AU30" s="506"/>
    </row>
    <row r="31" spans="1:47" ht="15">
      <c r="A31" s="25" t="s">
        <v>22</v>
      </c>
      <c r="B31" s="11">
        <f>B30/B37</f>
        <v>6.8965517241379309E-2</v>
      </c>
      <c r="C31" s="11">
        <f>C30/C37</f>
        <v>5.6603773584905662E-2</v>
      </c>
      <c r="D31" s="507">
        <f>D30/D37</f>
        <v>0</v>
      </c>
      <c r="E31" s="509">
        <f>E30/E37</f>
        <v>5.7692307692307696E-2</v>
      </c>
      <c r="F31" s="1"/>
      <c r="H31" s="1"/>
      <c r="M31" s="506"/>
      <c r="N31" s="241">
        <v>9.8484848484848481E-2</v>
      </c>
      <c r="O31" s="509">
        <f t="shared" ref="O31:AC31" si="17">O30/O37</f>
        <v>6.3063063063063057E-2</v>
      </c>
      <c r="P31" s="509">
        <f t="shared" si="17"/>
        <v>4.5045045045045043E-2</v>
      </c>
      <c r="Q31" s="197">
        <f t="shared" si="17"/>
        <v>5.7894736842105263E-2</v>
      </c>
      <c r="R31" s="159">
        <f t="shared" si="17"/>
        <v>4.8309178743961352E-2</v>
      </c>
      <c r="S31" s="177">
        <f t="shared" si="17"/>
        <v>0.11961722488038277</v>
      </c>
      <c r="T31" s="288">
        <f t="shared" si="17"/>
        <v>9.420289855072464E-2</v>
      </c>
      <c r="U31" s="277">
        <f t="shared" si="17"/>
        <v>5.2941176470588235E-2</v>
      </c>
      <c r="V31" s="292">
        <f t="shared" si="17"/>
        <v>7.0270270270270274E-2</v>
      </c>
      <c r="W31" s="295">
        <f t="shared" si="17"/>
        <v>3.2467532467532464E-2</v>
      </c>
      <c r="X31" s="323">
        <f t="shared" si="17"/>
        <v>7.874015748031496E-3</v>
      </c>
      <c r="Y31" s="777">
        <f t="shared" si="17"/>
        <v>5.5172413793103448E-2</v>
      </c>
      <c r="Z31" s="791">
        <f t="shared" si="17"/>
        <v>3.6231884057971016E-2</v>
      </c>
      <c r="AA31" s="509">
        <f t="shared" si="17"/>
        <v>2.2222222222222223E-2</v>
      </c>
      <c r="AB31" s="509">
        <f t="shared" si="17"/>
        <v>5.6603773584905662E-2</v>
      </c>
      <c r="AC31" s="151">
        <f t="shared" si="17"/>
        <v>1.3574660633484163E-2</v>
      </c>
      <c r="AD31" s="1"/>
      <c r="AF31" s="1"/>
      <c r="AK31" s="502"/>
      <c r="AT31" s="146"/>
      <c r="AU31" s="506"/>
    </row>
    <row r="32" spans="1:47" ht="15">
      <c r="A32" s="1" t="s">
        <v>21</v>
      </c>
      <c r="B32" s="19">
        <v>4</v>
      </c>
      <c r="C32" s="19">
        <v>6</v>
      </c>
      <c r="D32" s="17">
        <v>1</v>
      </c>
      <c r="E32" s="510">
        <v>2</v>
      </c>
      <c r="F32" s="1"/>
      <c r="H32" s="1"/>
      <c r="M32" s="506"/>
      <c r="N32" s="234">
        <v>12</v>
      </c>
      <c r="O32" s="234">
        <v>10</v>
      </c>
      <c r="P32" s="511">
        <f>SUM(B32:E32)</f>
        <v>13</v>
      </c>
      <c r="Q32" s="210">
        <f>SUM('Einzelspielerprofile (5)'!N33:Q33)</f>
        <v>14</v>
      </c>
      <c r="R32" s="166">
        <f>SUM('Einzelspielerprofile (5)'!R33:W33)</f>
        <v>13</v>
      </c>
      <c r="S32" s="190">
        <f>SUM('Einzelspielerprofile (5)'!X33:AA33)</f>
        <v>16</v>
      </c>
      <c r="T32" s="285">
        <f>SUM('Einzelspielerprofile (5)'!AB33:AF33)</f>
        <v>12</v>
      </c>
      <c r="U32" s="274">
        <f>SUM('Einzelspielerprofile (5)'!AG33:AK33)</f>
        <v>9</v>
      </c>
      <c r="V32" s="300">
        <f>SUM('Einzelspielerprofile (5)'!AL33:AO33)</f>
        <v>11</v>
      </c>
      <c r="W32" s="310">
        <f>SUM('Einzelspielerprofile (5)'!AP33:AS33)</f>
        <v>9</v>
      </c>
      <c r="X32" s="320">
        <f>SUM('Einzelspielerprofile (5)'!AT33:AX33)</f>
        <v>8</v>
      </c>
      <c r="Y32" s="773">
        <f>SUM('Einzelspielerprofile (5)'!AY33:BB33)</f>
        <v>5</v>
      </c>
      <c r="Z32" s="787">
        <f>SUM('Einzelspielerprofile (5)'!BC33:BF33)</f>
        <v>3</v>
      </c>
      <c r="AA32" s="511">
        <f>SUM('Einzelspielerprofile (5)'!BG33:BJ33)</f>
        <v>4</v>
      </c>
      <c r="AB32" s="511">
        <f>SUM('Einzelspielerprofile (5)'!BK33:BP33)</f>
        <v>8</v>
      </c>
      <c r="AC32" s="144">
        <v>3</v>
      </c>
      <c r="AD32" s="1"/>
      <c r="AF32" s="1"/>
      <c r="AK32" s="502"/>
      <c r="AT32" s="146"/>
      <c r="AU32" s="506"/>
    </row>
    <row r="33" spans="1:47" ht="15">
      <c r="A33" s="25" t="s">
        <v>20</v>
      </c>
      <c r="B33" s="11">
        <f>B32/B37</f>
        <v>6.8965517241379309E-2</v>
      </c>
      <c r="C33" s="11">
        <f>C32/C37</f>
        <v>0.11320754716981132</v>
      </c>
      <c r="D33" s="509">
        <f>D32/D37</f>
        <v>1.6949152542372881E-2</v>
      </c>
      <c r="E33" s="507">
        <f>E32/E37</f>
        <v>3.8461538461538464E-2</v>
      </c>
      <c r="F33" s="1"/>
      <c r="H33" s="1"/>
      <c r="M33" s="506"/>
      <c r="N33" s="242">
        <v>9.0909090909090912E-2</v>
      </c>
      <c r="O33" s="507">
        <f t="shared" ref="O33:AC33" si="18">O32/O37</f>
        <v>9.0090090090090086E-2</v>
      </c>
      <c r="P33" s="507">
        <f t="shared" si="18"/>
        <v>5.8558558558558557E-2</v>
      </c>
      <c r="Q33" s="602">
        <f t="shared" si="18"/>
        <v>7.3684210526315783E-2</v>
      </c>
      <c r="R33" s="158">
        <f t="shared" si="18"/>
        <v>6.280193236714976E-2</v>
      </c>
      <c r="S33" s="176">
        <f t="shared" si="18"/>
        <v>7.6555023923444973E-2</v>
      </c>
      <c r="T33" s="287">
        <f t="shared" si="18"/>
        <v>8.6956521739130432E-2</v>
      </c>
      <c r="U33" s="276">
        <f t="shared" si="18"/>
        <v>5.2941176470588235E-2</v>
      </c>
      <c r="V33" s="302">
        <f t="shared" si="18"/>
        <v>5.9459459459459463E-2</v>
      </c>
      <c r="W33" s="312">
        <f t="shared" si="18"/>
        <v>5.844155844155844E-2</v>
      </c>
      <c r="X33" s="322">
        <f t="shared" si="18"/>
        <v>6.2992125984251968E-2</v>
      </c>
      <c r="Y33" s="775">
        <f t="shared" si="18"/>
        <v>3.4482758620689655E-2</v>
      </c>
      <c r="Z33" s="789">
        <f t="shared" si="18"/>
        <v>2.1739130434782608E-2</v>
      </c>
      <c r="AA33" s="507">
        <f t="shared" si="18"/>
        <v>2.9629629629629631E-2</v>
      </c>
      <c r="AB33" s="507">
        <f t="shared" si="18"/>
        <v>7.5471698113207544E-2</v>
      </c>
      <c r="AC33" s="145">
        <f t="shared" si="18"/>
        <v>1.3574660633484163E-2</v>
      </c>
      <c r="AD33" s="1"/>
      <c r="AF33" s="1"/>
      <c r="AK33" s="502"/>
      <c r="AT33" s="146"/>
      <c r="AU33" s="506"/>
    </row>
    <row r="34" spans="1:47" ht="15">
      <c r="A34" s="1" t="s">
        <v>19</v>
      </c>
      <c r="B34" s="19">
        <v>7</v>
      </c>
      <c r="C34" s="19">
        <v>1</v>
      </c>
      <c r="D34" s="17">
        <v>3</v>
      </c>
      <c r="E34" s="510">
        <v>1</v>
      </c>
      <c r="F34" s="1"/>
      <c r="H34" s="1"/>
      <c r="M34" s="506"/>
      <c r="N34" s="234">
        <v>15</v>
      </c>
      <c r="O34" s="234">
        <v>7</v>
      </c>
      <c r="P34" s="511">
        <f>SUM(B34:E34)</f>
        <v>12</v>
      </c>
      <c r="Q34" s="210">
        <f>SUM('Einzelspielerprofile (5)'!N35:Q35)</f>
        <v>23</v>
      </c>
      <c r="R34" s="166">
        <f>SUM('Einzelspielerprofile (5)'!R35:W35)</f>
        <v>13</v>
      </c>
      <c r="S34" s="190">
        <f>SUM('Einzelspielerprofile (5)'!X35:AA35)</f>
        <v>15</v>
      </c>
      <c r="T34" s="285">
        <f>SUM('Einzelspielerprofile (5)'!AB35:AF35)</f>
        <v>11</v>
      </c>
      <c r="U34" s="274">
        <f>SUM('Einzelspielerprofile (5)'!AG35:AK35)</f>
        <v>6</v>
      </c>
      <c r="V34" s="300">
        <f>SUM('Einzelspielerprofile (5)'!AL35:AO35)</f>
        <v>9</v>
      </c>
      <c r="W34" s="310">
        <f>SUM('Einzelspielerprofile (5)'!AP35:AS35)</f>
        <v>5</v>
      </c>
      <c r="X34" s="320">
        <f>SUM('Einzelspielerprofile (5)'!AT35:AX35)</f>
        <v>2</v>
      </c>
      <c r="Y34" s="773">
        <f>SUM('Einzelspielerprofile (5)'!AY35:BB35)</f>
        <v>3</v>
      </c>
      <c r="Z34" s="787">
        <f>SUM('Einzelspielerprofile (5)'!BC35:BF35)</f>
        <v>10</v>
      </c>
      <c r="AA34" s="511">
        <f>SUM('Einzelspielerprofile (5)'!BG35:BJ35)</f>
        <v>7</v>
      </c>
      <c r="AB34" s="511">
        <f>SUM('Einzelspielerprofile (5)'!BK35:BP35)</f>
        <v>8</v>
      </c>
      <c r="AC34" s="144">
        <v>7</v>
      </c>
      <c r="AD34" s="1"/>
      <c r="AF34" s="1"/>
      <c r="AK34" s="502"/>
      <c r="AT34" s="146"/>
      <c r="AU34" s="506"/>
    </row>
    <row r="35" spans="1:47" ht="15">
      <c r="A35" s="25" t="s">
        <v>18</v>
      </c>
      <c r="B35" s="11">
        <f>B34/B37</f>
        <v>0.1206896551724138</v>
      </c>
      <c r="C35" s="11">
        <f>C34/C37</f>
        <v>1.8867924528301886E-2</v>
      </c>
      <c r="D35" s="509">
        <f>D34/D37</f>
        <v>5.0847457627118647E-2</v>
      </c>
      <c r="E35" s="507">
        <f>E34/E37</f>
        <v>1.9230769230769232E-2</v>
      </c>
      <c r="F35" s="1"/>
      <c r="H35" s="1"/>
      <c r="M35" s="506"/>
      <c r="N35" s="241">
        <v>0.11363636363636363</v>
      </c>
      <c r="O35" s="507">
        <f t="shared" ref="O35:AC35" si="19">O34/O37</f>
        <v>6.3063063063063057E-2</v>
      </c>
      <c r="P35" s="507">
        <f t="shared" si="19"/>
        <v>5.4054054054054057E-2</v>
      </c>
      <c r="Q35" s="602">
        <f t="shared" si="19"/>
        <v>0.12105263157894737</v>
      </c>
      <c r="R35" s="158">
        <f t="shared" si="19"/>
        <v>6.280193236714976E-2</v>
      </c>
      <c r="S35" s="176">
        <f t="shared" si="19"/>
        <v>7.1770334928229665E-2</v>
      </c>
      <c r="T35" s="287">
        <f t="shared" si="19"/>
        <v>7.9710144927536225E-2</v>
      </c>
      <c r="U35" s="276">
        <f t="shared" si="19"/>
        <v>3.5294117647058823E-2</v>
      </c>
      <c r="V35" s="302">
        <f t="shared" si="19"/>
        <v>4.8648648648648651E-2</v>
      </c>
      <c r="W35" s="312">
        <f t="shared" si="19"/>
        <v>3.2467532467532464E-2</v>
      </c>
      <c r="X35" s="322">
        <f t="shared" si="19"/>
        <v>1.5748031496062992E-2</v>
      </c>
      <c r="Y35" s="775">
        <f t="shared" si="19"/>
        <v>2.0689655172413793E-2</v>
      </c>
      <c r="Z35" s="789">
        <f t="shared" si="19"/>
        <v>7.2463768115942032E-2</v>
      </c>
      <c r="AA35" s="507">
        <f t="shared" si="19"/>
        <v>5.185185185185185E-2</v>
      </c>
      <c r="AB35" s="507">
        <f t="shared" si="19"/>
        <v>7.5471698113207544E-2</v>
      </c>
      <c r="AC35" s="145">
        <f t="shared" si="19"/>
        <v>3.1674208144796379E-2</v>
      </c>
      <c r="AD35" s="1"/>
      <c r="AF35" s="1"/>
      <c r="AK35" s="502"/>
      <c r="AT35" s="146"/>
      <c r="AU35" s="506"/>
    </row>
    <row r="36" spans="1:47" s="503" customFormat="1">
      <c r="A36" s="512" t="s">
        <v>17</v>
      </c>
      <c r="B36" s="505">
        <f>B31+B33+B35</f>
        <v>0.25862068965517243</v>
      </c>
      <c r="C36" s="579">
        <f>C31+C33+C35</f>
        <v>0.18867924528301888</v>
      </c>
      <c r="D36" s="579">
        <f>D31+D33+D35</f>
        <v>6.7796610169491525E-2</v>
      </c>
      <c r="E36" s="578">
        <f>E31+E33+E35</f>
        <v>0.11538461538461539</v>
      </c>
      <c r="F36" s="516"/>
      <c r="G36" s="331">
        <f>MAX(B36:E36)</f>
        <v>0.25862068965517243</v>
      </c>
      <c r="H36" s="516"/>
      <c r="I36" s="505">
        <f>B36/$G36</f>
        <v>1</v>
      </c>
      <c r="J36" s="578">
        <f>C36/$G36</f>
        <v>0.72955974842767291</v>
      </c>
      <c r="K36" s="579">
        <f>D36/$G36</f>
        <v>0.26214689265536723</v>
      </c>
      <c r="L36" s="578">
        <f>E36/$G36</f>
        <v>0.44615384615384612</v>
      </c>
      <c r="M36" s="504"/>
      <c r="N36" s="349">
        <v>0.30303030303030304</v>
      </c>
      <c r="O36" s="490">
        <f t="shared" ref="O36:AC36" si="20">O31+O33+O35</f>
        <v>0.2162162162162162</v>
      </c>
      <c r="P36" s="635">
        <f t="shared" si="20"/>
        <v>0.15765765765765766</v>
      </c>
      <c r="Q36" s="226">
        <f t="shared" si="20"/>
        <v>0.25263157894736843</v>
      </c>
      <c r="R36" s="599">
        <f t="shared" si="20"/>
        <v>0.17391304347826086</v>
      </c>
      <c r="S36" s="227">
        <f t="shared" si="20"/>
        <v>0.26794258373205743</v>
      </c>
      <c r="T36" s="404">
        <f t="shared" si="20"/>
        <v>0.2608695652173913</v>
      </c>
      <c r="U36" s="399">
        <f t="shared" si="20"/>
        <v>0.14117647058823529</v>
      </c>
      <c r="V36" s="401">
        <f t="shared" si="20"/>
        <v>0.17837837837837839</v>
      </c>
      <c r="W36" s="403">
        <f t="shared" si="20"/>
        <v>0.12337662337662338</v>
      </c>
      <c r="X36" s="402">
        <f t="shared" si="20"/>
        <v>8.6614173228346455E-2</v>
      </c>
      <c r="Y36" s="769">
        <f t="shared" si="20"/>
        <v>0.1103448275862069</v>
      </c>
      <c r="Z36" s="783">
        <f t="shared" si="20"/>
        <v>0.13043478260869565</v>
      </c>
      <c r="AA36" s="578">
        <f t="shared" si="20"/>
        <v>0.10370370370370371</v>
      </c>
      <c r="AB36" s="578">
        <f t="shared" si="20"/>
        <v>0.20754716981132076</v>
      </c>
      <c r="AC36" s="597">
        <f t="shared" si="20"/>
        <v>5.8823529411764705E-2</v>
      </c>
      <c r="AD36" s="516"/>
      <c r="AE36" s="331">
        <f>MAX(P36:AC36)</f>
        <v>0.26794258373205743</v>
      </c>
      <c r="AF36" s="516"/>
      <c r="AG36" s="635">
        <f>P36/$AE36</f>
        <v>0.58840090090090091</v>
      </c>
      <c r="AH36" s="635">
        <f t="shared" ref="AH36:AT36" si="21">Q36/$AE36</f>
        <v>0.94285714285714284</v>
      </c>
      <c r="AI36" s="635">
        <f t="shared" si="21"/>
        <v>0.64906832298136641</v>
      </c>
      <c r="AJ36" s="635">
        <f t="shared" si="21"/>
        <v>1</v>
      </c>
      <c r="AK36" s="635">
        <f t="shared" si="21"/>
        <v>0.97360248447204967</v>
      </c>
      <c r="AL36" s="635">
        <f t="shared" si="21"/>
        <v>0.52689075630252102</v>
      </c>
      <c r="AM36" s="635">
        <f t="shared" si="21"/>
        <v>0.66573359073359073</v>
      </c>
      <c r="AN36" s="635">
        <f t="shared" si="21"/>
        <v>0.46045918367346939</v>
      </c>
      <c r="AO36" s="635">
        <f t="shared" si="21"/>
        <v>0.32325646794150731</v>
      </c>
      <c r="AP36" s="635">
        <f t="shared" si="21"/>
        <v>0.41182266009852214</v>
      </c>
      <c r="AQ36" s="635">
        <f t="shared" si="21"/>
        <v>0.48680124223602483</v>
      </c>
      <c r="AR36" s="635">
        <f t="shared" si="21"/>
        <v>0.38703703703703707</v>
      </c>
      <c r="AS36" s="635">
        <f t="shared" si="21"/>
        <v>0.77459568733153639</v>
      </c>
      <c r="AT36" s="673">
        <f t="shared" si="21"/>
        <v>0.21953781512605042</v>
      </c>
      <c r="AU36" s="504"/>
    </row>
    <row r="37" spans="1:47" ht="15">
      <c r="A37" s="1" t="s">
        <v>4</v>
      </c>
      <c r="B37" s="22">
        <f>Auswertung!AC13</f>
        <v>58</v>
      </c>
      <c r="C37" s="22">
        <f>Auswertung!AC21</f>
        <v>53</v>
      </c>
      <c r="D37" s="21">
        <f>Auswertung!AC29</f>
        <v>59</v>
      </c>
      <c r="E37" s="511">
        <f>Auswertung!AC37</f>
        <v>52</v>
      </c>
      <c r="F37" s="1"/>
      <c r="H37" s="1"/>
      <c r="M37" s="506"/>
      <c r="N37" s="234">
        <v>132</v>
      </c>
      <c r="O37" s="234">
        <v>111</v>
      </c>
      <c r="P37" s="511">
        <f>SUM(B37:E37)</f>
        <v>222</v>
      </c>
      <c r="Q37" s="210">
        <f>Auswertung!AC53</f>
        <v>190</v>
      </c>
      <c r="R37" s="166">
        <f>Auswertung!AC93</f>
        <v>207</v>
      </c>
      <c r="S37" s="190">
        <f>Auswertung!AC149</f>
        <v>209</v>
      </c>
      <c r="T37" s="285">
        <f>Auswertung!AC189</f>
        <v>138</v>
      </c>
      <c r="U37" s="274">
        <f>Auswertung!AC237</f>
        <v>170</v>
      </c>
      <c r="V37" s="300">
        <f>Auswertung!AC285</f>
        <v>185</v>
      </c>
      <c r="W37" s="310">
        <f>Auswertung!AC325</f>
        <v>154</v>
      </c>
      <c r="X37" s="320">
        <f>Auswertung!AC365</f>
        <v>127</v>
      </c>
      <c r="Y37" s="773">
        <f>Auswertung!AC413</f>
        <v>145</v>
      </c>
      <c r="Z37" s="787">
        <f>Auswertung!AC453</f>
        <v>138</v>
      </c>
      <c r="AA37" s="511">
        <f>Auswertung!AC493</f>
        <v>135</v>
      </c>
      <c r="AB37" s="511">
        <f>Auswertung!AC533</f>
        <v>106</v>
      </c>
      <c r="AC37" s="148">
        <f>Auswertung!AC45</f>
        <v>221</v>
      </c>
      <c r="AD37" s="1"/>
      <c r="AF37" s="1"/>
      <c r="AK37" s="502"/>
      <c r="AT37" s="146"/>
      <c r="AU37" s="506"/>
    </row>
    <row r="38" spans="1:47" ht="15">
      <c r="A38" s="1" t="s">
        <v>63</v>
      </c>
      <c r="B38" s="22">
        <v>0</v>
      </c>
      <c r="C38" s="22">
        <v>1</v>
      </c>
      <c r="D38" s="21">
        <v>3</v>
      </c>
      <c r="E38" s="511">
        <v>0</v>
      </c>
      <c r="F38" s="1"/>
      <c r="H38" s="1"/>
      <c r="M38" s="506"/>
      <c r="N38" s="234">
        <v>8</v>
      </c>
      <c r="O38" s="234">
        <v>5</v>
      </c>
      <c r="P38" s="511">
        <f>SUM(B38:E38)</f>
        <v>4</v>
      </c>
      <c r="Q38" s="210">
        <f>SUM('Einzelspielerprofile (5)'!N39:Q39)</f>
        <v>0</v>
      </c>
      <c r="R38" s="166">
        <f>SUM('Einzelspielerprofile (5)'!R39:W39)</f>
        <v>2</v>
      </c>
      <c r="S38" s="190">
        <f>SUM('Einzelspielerprofile (5)'!X39:AA39)</f>
        <v>6</v>
      </c>
      <c r="T38" s="285">
        <f>SUM('Einzelspielerprofile (5)'!AB39:AF39)</f>
        <v>4</v>
      </c>
      <c r="U38" s="274">
        <f>SUM('Einzelspielerprofile (5)'!AG39:AK39)</f>
        <v>7</v>
      </c>
      <c r="V38" s="300">
        <f>SUM('Einzelspielerprofile (5)'!AL39:AO39)</f>
        <v>6</v>
      </c>
      <c r="W38" s="310">
        <f>SUM('Einzelspielerprofile (5)'!AP39:AS39)</f>
        <v>3</v>
      </c>
      <c r="X38" s="320">
        <f>SUM('Einzelspielerprofile (5)'!AT39:AX39)</f>
        <v>3</v>
      </c>
      <c r="Y38" s="773">
        <f>SUM('Einzelspielerprofile (5)'!AY39:BB39)</f>
        <v>7</v>
      </c>
      <c r="Z38" s="787">
        <f>SUM('Einzelspielerprofile (5)'!BC39:BF39)</f>
        <v>3</v>
      </c>
      <c r="AA38" s="511">
        <f>SUM('Einzelspielerprofile (5)'!BG39:BJ39)</f>
        <v>1</v>
      </c>
      <c r="AB38" s="511">
        <f>SUM('Einzelspielerprofile (5)'!BK39:BP39)</f>
        <v>5</v>
      </c>
      <c r="AC38" s="148">
        <v>3</v>
      </c>
      <c r="AD38" s="1"/>
      <c r="AF38" s="1"/>
      <c r="AK38" s="502"/>
      <c r="AT38" s="146"/>
      <c r="AU38" s="506"/>
    </row>
    <row r="39" spans="1:47" ht="15">
      <c r="A39" s="1" t="s">
        <v>62</v>
      </c>
      <c r="B39" s="22">
        <v>15</v>
      </c>
      <c r="C39" s="22">
        <v>11</v>
      </c>
      <c r="D39" s="21">
        <v>10</v>
      </c>
      <c r="E39" s="511">
        <v>11</v>
      </c>
      <c r="F39" s="1"/>
      <c r="H39" s="1"/>
      <c r="M39" s="506"/>
      <c r="N39" s="234">
        <v>29</v>
      </c>
      <c r="O39" s="234">
        <v>13</v>
      </c>
      <c r="P39" s="511">
        <f>SUM(B39:E39)</f>
        <v>47</v>
      </c>
      <c r="Q39" s="210">
        <f>SUM('Einzelspielerprofile (5)'!N40:Q40)</f>
        <v>29</v>
      </c>
      <c r="R39" s="166">
        <f>SUM('Einzelspielerprofile (5)'!R40:W40)</f>
        <v>37</v>
      </c>
      <c r="S39" s="190">
        <f>SUM('Einzelspielerprofile (5)'!X40:AA40)</f>
        <v>26</v>
      </c>
      <c r="T39" s="285">
        <f>SUM('Einzelspielerprofile (5)'!AB40:AF40)</f>
        <v>28</v>
      </c>
      <c r="U39" s="274">
        <f>SUM('Einzelspielerprofile (5)'!AG40:AK40)</f>
        <v>37</v>
      </c>
      <c r="V39" s="300">
        <f>SUM('Einzelspielerprofile (5)'!AL40:AO40)</f>
        <v>30</v>
      </c>
      <c r="W39" s="310">
        <f>SUM('Einzelspielerprofile (5)'!AP40:AS40)</f>
        <v>36</v>
      </c>
      <c r="X39" s="320">
        <f>SUM('Einzelspielerprofile (5)'!AT40:AX40)</f>
        <v>23</v>
      </c>
      <c r="Y39" s="773">
        <f>SUM('Einzelspielerprofile (5)'!AY40:BB40)</f>
        <v>22</v>
      </c>
      <c r="Z39" s="787">
        <f>SUM('Einzelspielerprofile (5)'!BC40:BF40)</f>
        <v>41</v>
      </c>
      <c r="AA39" s="511">
        <f>SUM('Einzelspielerprofile (5)'!BG40:BJ40)</f>
        <v>34</v>
      </c>
      <c r="AB39" s="511">
        <f>SUM('Einzelspielerprofile (5)'!BK40:BP40)</f>
        <v>30</v>
      </c>
      <c r="AC39" s="148">
        <v>45</v>
      </c>
      <c r="AD39" s="1"/>
      <c r="AF39" s="1"/>
      <c r="AK39" s="502"/>
      <c r="AT39" s="146"/>
      <c r="AU39" s="506"/>
    </row>
    <row r="40" spans="1:47" ht="15">
      <c r="A40" s="25" t="s">
        <v>64</v>
      </c>
      <c r="B40" s="513">
        <f>(B30+B32+B34)/B39</f>
        <v>1</v>
      </c>
      <c r="C40" s="513">
        <f>(C30+C32+C34)/C39</f>
        <v>0.90909090909090906</v>
      </c>
      <c r="D40" s="513">
        <f>(D30+D32+D34)/D39</f>
        <v>0.4</v>
      </c>
      <c r="E40" s="513">
        <f>(E30+E32+E34)/E39</f>
        <v>0.54545454545454541</v>
      </c>
      <c r="F40" s="1"/>
      <c r="H40" s="1"/>
      <c r="M40" s="506"/>
      <c r="N40" s="492">
        <f>(N30+N32+N34)/N39</f>
        <v>1.3793103448275863</v>
      </c>
      <c r="O40" s="492">
        <v>1.8461538461538463</v>
      </c>
      <c r="P40" s="513">
        <f t="shared" ref="P40:AC40" si="22">(P30+P32+P34)/P39</f>
        <v>0.74468085106382975</v>
      </c>
      <c r="Q40" s="856">
        <f t="shared" si="22"/>
        <v>1.6551724137931034</v>
      </c>
      <c r="R40" s="858">
        <f t="shared" si="22"/>
        <v>0.97297297297297303</v>
      </c>
      <c r="S40" s="1524">
        <f t="shared" si="22"/>
        <v>2.1538461538461537</v>
      </c>
      <c r="T40" s="861">
        <f t="shared" si="22"/>
        <v>1.2857142857142858</v>
      </c>
      <c r="U40" s="275">
        <f t="shared" si="22"/>
        <v>0.64864864864864868</v>
      </c>
      <c r="V40" s="863">
        <f t="shared" si="22"/>
        <v>1.1000000000000001</v>
      </c>
      <c r="W40" s="311">
        <f t="shared" si="22"/>
        <v>0.52777777777777779</v>
      </c>
      <c r="X40" s="321">
        <f t="shared" si="22"/>
        <v>0.47826086956521741</v>
      </c>
      <c r="Y40" s="774">
        <f t="shared" si="22"/>
        <v>0.72727272727272729</v>
      </c>
      <c r="Z40" s="788">
        <f t="shared" si="22"/>
        <v>0.43902439024390244</v>
      </c>
      <c r="AA40" s="513">
        <f t="shared" si="22"/>
        <v>0.41176470588235292</v>
      </c>
      <c r="AB40" s="513">
        <f t="shared" si="22"/>
        <v>0.73333333333333328</v>
      </c>
      <c r="AC40" s="269">
        <f t="shared" si="22"/>
        <v>0.28888888888888886</v>
      </c>
      <c r="AD40" s="1"/>
      <c r="AF40" s="1"/>
      <c r="AK40" s="502"/>
      <c r="AT40" s="146"/>
      <c r="AU40" s="506"/>
    </row>
    <row r="41" spans="1:47" s="2" customFormat="1" ht="6" customHeight="1">
      <c r="B41" s="506"/>
      <c r="C41" s="506"/>
      <c r="D41" s="506"/>
      <c r="E41" s="506"/>
      <c r="G41" s="506"/>
      <c r="I41" s="506"/>
      <c r="J41" s="506"/>
      <c r="K41" s="506"/>
      <c r="L41" s="506"/>
      <c r="M41" s="506"/>
      <c r="N41" s="233"/>
      <c r="O41" s="233"/>
      <c r="P41" s="506"/>
      <c r="Q41" s="506"/>
      <c r="R41" s="506"/>
      <c r="S41" s="506"/>
      <c r="T41" s="506"/>
      <c r="U41" s="506"/>
      <c r="V41" s="506"/>
      <c r="W41" s="506"/>
      <c r="X41" s="506"/>
      <c r="Y41" s="506"/>
      <c r="Z41" s="506"/>
      <c r="AA41" s="506"/>
      <c r="AB41" s="506"/>
      <c r="AE41" s="506"/>
      <c r="AG41" s="506"/>
      <c r="AH41" s="506"/>
      <c r="AI41" s="506"/>
      <c r="AJ41" s="506"/>
      <c r="AK41" s="506"/>
      <c r="AL41" s="506"/>
      <c r="AM41" s="506"/>
      <c r="AN41" s="506"/>
      <c r="AO41" s="506"/>
      <c r="AP41" s="506"/>
      <c r="AQ41" s="506"/>
      <c r="AR41" s="506"/>
      <c r="AS41" s="506"/>
      <c r="AT41" s="506"/>
      <c r="AU41" s="506"/>
    </row>
    <row r="42" spans="1:47" ht="15">
      <c r="A42" s="20" t="s">
        <v>16</v>
      </c>
      <c r="B42" s="17">
        <v>7</v>
      </c>
      <c r="C42" s="17">
        <v>3</v>
      </c>
      <c r="D42" s="19">
        <v>3</v>
      </c>
      <c r="E42" s="510">
        <v>0</v>
      </c>
      <c r="F42" s="1"/>
      <c r="H42" s="1"/>
      <c r="M42" s="506"/>
      <c r="N42" s="235">
        <v>7</v>
      </c>
      <c r="O42" s="235">
        <v>7</v>
      </c>
      <c r="P42" s="511">
        <f>SUM(B42:E42)</f>
        <v>13</v>
      </c>
      <c r="Q42" s="204">
        <f>SUM('Einzelspielerprofile (5)'!N43:Q43)</f>
        <v>14</v>
      </c>
      <c r="R42" s="155">
        <f>SUM('Einzelspielerprofile (5)'!R43:W43)</f>
        <v>12</v>
      </c>
      <c r="S42" s="185">
        <f>SUM('Einzelspielerprofile (5)'!X43:AA43)</f>
        <v>14</v>
      </c>
      <c r="T42" s="283">
        <f>SUM('Einzelspielerprofile (5)'!AB43:AF43)</f>
        <v>9</v>
      </c>
      <c r="U42" s="272">
        <f>SUM('Einzelspielerprofile (5)'!AG43:AK43)</f>
        <v>9</v>
      </c>
      <c r="V42" s="298">
        <f>SUM('Einzelspielerprofile (5)'!AL43:AO43)</f>
        <v>7</v>
      </c>
      <c r="W42" s="308">
        <f>SUM('Einzelspielerprofile (5)'!AP43:AS43)</f>
        <v>9</v>
      </c>
      <c r="X42" s="318">
        <f>SUM('Einzelspielerprofile (5)'!AT43:AX43)</f>
        <v>7</v>
      </c>
      <c r="Y42" s="778">
        <f>SUM('Einzelspielerprofile (5)'!AY43:BB43)</f>
        <v>9</v>
      </c>
      <c r="Z42" s="792">
        <f>SUM('Einzelspielerprofile (5)'!BC43:BF43)</f>
        <v>8</v>
      </c>
      <c r="AA42" s="17">
        <f>SUM('Einzelspielerprofile (5)'!BG43:BJ43)</f>
        <v>8</v>
      </c>
      <c r="AB42" s="17">
        <f>SUM('Einzelspielerprofile (5)'!BK43:BP43)</f>
        <v>7</v>
      </c>
      <c r="AC42" s="144">
        <v>7</v>
      </c>
      <c r="AD42" s="1"/>
      <c r="AF42" s="1"/>
      <c r="AK42" s="502"/>
      <c r="AT42" s="146"/>
      <c r="AU42" s="506"/>
    </row>
    <row r="43" spans="1:47" s="503" customFormat="1">
      <c r="A43" s="15" t="s">
        <v>15</v>
      </c>
      <c r="B43" s="350">
        <f>('Spiel 6'!O4+'Spiel 7 - Viertelfinal'!O5+'Spiel 7 - Viertelfinal'!AO5+'Spiel 8 - Halbfinal'!B5+'Spiel 8 - Halbfinal'!AB5+'Spiel 9 - Final'!O5+'Spiel 9 - Final'!AO5)/B42</f>
        <v>10.857142857142858</v>
      </c>
      <c r="C43" s="350">
        <f>('Spiel 2'!O4+'Spiel 3'!B4+'Spiel 1'!V4)/C42</f>
        <v>5.666666666666667</v>
      </c>
      <c r="D43" s="350">
        <f>('Spiel 1'!B4+'Spiel 4'!O4+'Spiel 5'!B4)/D42</f>
        <v>9.6666666666666661</v>
      </c>
      <c r="E43" s="351" t="s">
        <v>13</v>
      </c>
      <c r="F43" s="352"/>
      <c r="G43" s="353">
        <f>MAX(B43:B43)</f>
        <v>10.857142857142858</v>
      </c>
      <c r="H43" s="352"/>
      <c r="I43" s="354">
        <f>B43/$G43</f>
        <v>1</v>
      </c>
      <c r="J43" s="354">
        <f>C43/$G43</f>
        <v>0.52192982456140347</v>
      </c>
      <c r="K43" s="354">
        <f>D43/$G43</f>
        <v>0.89035087719298234</v>
      </c>
      <c r="L43" s="354" t="s">
        <v>13</v>
      </c>
      <c r="M43" s="504"/>
      <c r="N43" s="344">
        <v>8.7142857142857135</v>
      </c>
      <c r="O43" s="497">
        <v>8.9</v>
      </c>
      <c r="P43" s="636">
        <f>((B43*B42)+(C43*C42)+(D43*D42))/P42</f>
        <v>9.384615384615385</v>
      </c>
      <c r="Q43" s="869">
        <f>(('Einzelspielerprofile (5)'!N44*'Einzelspielerprofile (5)'!N43)+('Einzelspielerprofile (5)'!O44*'Einzelspielerprofile (5)'!O43)+('Einzelspielerprofile (5)'!P44*'Einzelspielerprofile (5)'!P43)+('Einzelspielerprofile (5)'!Q44*'Einzelspielerprofile (5)'!Q43))/Q42</f>
        <v>11.071428571428571</v>
      </c>
      <c r="R43" s="870">
        <f>(('Einzelspielerprofile (5)'!R44*'Einzelspielerprofile (5)'!R43)+('Einzelspielerprofile (5)'!S44*'Einzelspielerprofile (5)'!S43)+('Einzelspielerprofile (5)'!T44*'Einzelspielerprofile (5)'!T43)+('Einzelspielerprofile (5)'!U44*'Einzelspielerprofile (5)'!U43)+('Einzelspielerprofile (5)'!V44*'Einzelspielerprofile (5)'!V43)+('Einzelspielerprofile (5)'!W44*'Einzelspielerprofile (5)'!W43))/R42</f>
        <v>9.5833333333333339</v>
      </c>
      <c r="S43" s="871">
        <f>(('Einzelspielerprofile (5)'!X44*'Einzelspielerprofile (5)'!X43)+('Einzelspielerprofile (5)'!Y44*'Einzelspielerprofile (5)'!Y43)+('Einzelspielerprofile (5)'!Z44*'Einzelspielerprofile (5)'!Z43)+('Einzelspielerprofile (5)'!AA44*'Einzelspielerprofile (5)'!AA43))/S42</f>
        <v>11.357142857142858</v>
      </c>
      <c r="T43" s="688">
        <f>(('Einzelspielerprofile (5)'!AB44*'Einzelspielerprofile (5)'!AB43)/T42)</f>
        <v>11</v>
      </c>
      <c r="U43" s="693">
        <f>(('Einzelspielerprofile (5)'!AG44*'Einzelspielerprofile (5)'!AG43)+('Einzelspielerprofile (5)'!AI44*'Einzelspielerprofile (5)'!AI43)+('Einzelspielerprofile (5)'!AJ44*'Einzelspielerprofile (5)'!AJ43))/U42</f>
        <v>9.1111111111111107</v>
      </c>
      <c r="V43" s="698">
        <f>(('Einzelspielerprofile (5)'!AL44*'Einzelspielerprofile (5)'!AL43)+('Einzelspielerprofile (5)'!AN44*'Einzelspielerprofile (5)'!AN43)+('Einzelspielerprofile (5)'!AO44*'Einzelspielerprofile (5)'!AO43))/V42</f>
        <v>7.7142857142857144</v>
      </c>
      <c r="W43" s="705">
        <f>('Einzelspielerprofile (5)'!AP44*'Einzelspielerprofile (5)'!AP43)/W42</f>
        <v>7.5555555555555554</v>
      </c>
      <c r="X43" s="710">
        <f>(('Einzelspielerprofile (5)'!AT44*'Einzelspielerprofile (5)'!AT43)+('Einzelspielerprofile (5)'!AU44*'Einzelspielerprofile (5)'!AU43)+('Einzelspielerprofile (5)'!AW44*'Einzelspielerprofile (5)'!AW43)+('Einzelspielerprofile (5)'!AX44*'Einzelspielerprofile (5)'!AX43))/X42</f>
        <v>6</v>
      </c>
      <c r="Y43" s="779">
        <f>(('Einzelspielerprofile (5)'!AY44*'Einzelspielerprofile (5)'!AY43)+('Einzelspielerprofile (5)'!BA44*'Einzelspielerprofile (5)'!BA43)+('Einzelspielerprofile (5)'!BB44*'Einzelspielerprofile (5)'!BB43))/Y42</f>
        <v>8.2222222222222214</v>
      </c>
      <c r="Z43" s="793">
        <f>('Einzelspielerprofile (5)'!BC44*'Einzelspielerprofile (5)'!BC43)/Z42</f>
        <v>8.5</v>
      </c>
      <c r="AA43" s="350">
        <f>(('Einzelspielerprofile (5)'!BG44*'Einzelspielerprofile (5)'!BG43)+('Einzelspielerprofile (5)'!BH44*'Einzelspielerprofile (5)'!BH43))/AA42</f>
        <v>4.125</v>
      </c>
      <c r="AB43" s="350">
        <f>(('Einzelspielerprofile (5)'!BK44*'Einzelspielerprofile (5)'!BK43)+('Einzelspielerprofile (5)'!BO44*'Einzelspielerprofile (5)'!BO43))/AB42</f>
        <v>10</v>
      </c>
      <c r="AC43" s="342">
        <f>('Spiel 1'!F4+'Spiel 2'!S4+'Spiel 3'!S4+'Spiel 7 - Viertelfinal'!S57+'Spiel 8 - Halbfinal'!S5+'Spiel 9 - Final'!F5+'Spiel 9 - Final'!AF5)/AC42</f>
        <v>10.285714285714286</v>
      </c>
      <c r="AD43" s="352"/>
      <c r="AE43" s="353">
        <f>MAX(P43:AC43)</f>
        <v>11.357142857142858</v>
      </c>
      <c r="AF43" s="352"/>
      <c r="AG43" s="639">
        <f>P43/$AE43</f>
        <v>0.82631833575229796</v>
      </c>
      <c r="AH43" s="639">
        <f t="shared" ref="AH43:AT43" si="23">Q43/$AE43</f>
        <v>0.97484276729559738</v>
      </c>
      <c r="AI43" s="639">
        <f t="shared" si="23"/>
        <v>0.84381551362683438</v>
      </c>
      <c r="AJ43" s="639">
        <f t="shared" si="23"/>
        <v>1</v>
      </c>
      <c r="AK43" s="639">
        <f t="shared" si="23"/>
        <v>0.96855345911949686</v>
      </c>
      <c r="AL43" s="639">
        <f t="shared" si="23"/>
        <v>0.80223619846261351</v>
      </c>
      <c r="AM43" s="639">
        <f t="shared" si="23"/>
        <v>0.67924528301886788</v>
      </c>
      <c r="AN43" s="639">
        <f t="shared" si="23"/>
        <v>0.66526904262753317</v>
      </c>
      <c r="AO43" s="639">
        <f t="shared" si="23"/>
        <v>0.52830188679245282</v>
      </c>
      <c r="AP43" s="639">
        <f t="shared" si="23"/>
        <v>0.72396925227113895</v>
      </c>
      <c r="AQ43" s="639">
        <f t="shared" si="23"/>
        <v>0.74842767295597479</v>
      </c>
      <c r="AR43" s="639">
        <f t="shared" si="23"/>
        <v>0.3632075471698113</v>
      </c>
      <c r="AS43" s="639">
        <f t="shared" si="23"/>
        <v>0.88050314465408797</v>
      </c>
      <c r="AT43" s="674">
        <f t="shared" si="23"/>
        <v>0.90566037735849059</v>
      </c>
      <c r="AU43" s="504"/>
    </row>
    <row r="44" spans="1:47" s="2" customFormat="1" ht="6" customHeight="1">
      <c r="B44" s="506"/>
      <c r="C44" s="506"/>
      <c r="D44" s="506"/>
      <c r="E44" s="506"/>
      <c r="G44" s="506"/>
      <c r="I44" s="506"/>
      <c r="J44" s="506"/>
      <c r="K44" s="506"/>
      <c r="L44" s="506"/>
      <c r="M44" s="506"/>
      <c r="N44" s="236"/>
      <c r="O44" s="236"/>
      <c r="P44" s="506"/>
      <c r="Q44" s="506"/>
      <c r="R44" s="506"/>
      <c r="S44" s="506"/>
      <c r="T44" s="506"/>
      <c r="U44" s="506"/>
      <c r="V44" s="506"/>
      <c r="W44" s="506"/>
      <c r="X44" s="506"/>
      <c r="Y44" s="506"/>
      <c r="Z44" s="506"/>
      <c r="AA44" s="506"/>
      <c r="AB44" s="506"/>
      <c r="AE44" s="506"/>
      <c r="AG44" s="506"/>
      <c r="AH44" s="506"/>
      <c r="AI44" s="506"/>
      <c r="AJ44" s="506"/>
      <c r="AK44" s="506"/>
      <c r="AL44" s="506"/>
      <c r="AM44" s="506"/>
      <c r="AN44" s="506"/>
      <c r="AO44" s="506"/>
      <c r="AP44" s="506"/>
      <c r="AQ44" s="506"/>
      <c r="AR44" s="506"/>
      <c r="AS44" s="506"/>
      <c r="AT44" s="506"/>
      <c r="AU44" s="506"/>
    </row>
    <row r="45" spans="1:47" s="503" customFormat="1">
      <c r="A45" s="503" t="s">
        <v>14</v>
      </c>
      <c r="B45" s="578">
        <f>I45</f>
        <v>0.84889705882352939</v>
      </c>
      <c r="C45" s="505">
        <f>J45</f>
        <v>0.73171441771808821</v>
      </c>
      <c r="D45" s="579">
        <f>K45</f>
        <v>0.78185919102068568</v>
      </c>
      <c r="E45" s="505">
        <f>L45</f>
        <v>0.59655070270547417</v>
      </c>
      <c r="F45" s="516"/>
      <c r="G45" s="7"/>
      <c r="H45" s="516"/>
      <c r="I45" s="578">
        <f>SUM(I4:I43)/8</f>
        <v>0.84889705882352939</v>
      </c>
      <c r="J45" s="505">
        <f>SUM(J4:J43)/8</f>
        <v>0.73171441771808821</v>
      </c>
      <c r="K45" s="579">
        <f>SUM(K4:K43)/8</f>
        <v>0.78185919102068568</v>
      </c>
      <c r="L45" s="505">
        <f>SUM(L4:L43)/7</f>
        <v>0.59655070270547417</v>
      </c>
      <c r="M45" s="504"/>
      <c r="N45" s="237"/>
      <c r="O45" s="237"/>
      <c r="P45" s="637">
        <f t="shared" ref="P45:AC45" si="24">AG45</f>
        <v>0.73344222795478065</v>
      </c>
      <c r="Q45" s="227">
        <f t="shared" si="24"/>
        <v>0.9688791554357592</v>
      </c>
      <c r="R45" s="599">
        <f t="shared" si="24"/>
        <v>0.76766030329567514</v>
      </c>
      <c r="S45" s="601">
        <f t="shared" si="24"/>
        <v>0.84123638415618374</v>
      </c>
      <c r="T45" s="404">
        <f t="shared" si="24"/>
        <v>0.82573756262670983</v>
      </c>
      <c r="U45" s="399">
        <f t="shared" si="24"/>
        <v>0.62315114705203023</v>
      </c>
      <c r="V45" s="401">
        <f t="shared" si="24"/>
        <v>0.63174425320275662</v>
      </c>
      <c r="W45" s="403">
        <f t="shared" si="24"/>
        <v>0.67590453933114547</v>
      </c>
      <c r="X45" s="402">
        <f t="shared" si="24"/>
        <v>0.62390403205191214</v>
      </c>
      <c r="Y45" s="769">
        <f t="shared" si="24"/>
        <v>0.62282146601137556</v>
      </c>
      <c r="Z45" s="783">
        <f t="shared" si="24"/>
        <v>0.58933227914608088</v>
      </c>
      <c r="AA45" s="578">
        <f t="shared" si="24"/>
        <v>0.58670909296575213</v>
      </c>
      <c r="AB45" s="578">
        <f t="shared" si="24"/>
        <v>0.59093891596070736</v>
      </c>
      <c r="AC45" s="597">
        <f t="shared" si="24"/>
        <v>0.6442301945916874</v>
      </c>
      <c r="AD45" s="516"/>
      <c r="AE45" s="7"/>
      <c r="AF45" s="516"/>
      <c r="AG45" s="638">
        <f t="shared" ref="AG45:AT45" si="25">SUM(AG4:AG43)/8</f>
        <v>0.73344222795478065</v>
      </c>
      <c r="AH45" s="638">
        <f t="shared" si="25"/>
        <v>0.9688791554357592</v>
      </c>
      <c r="AI45" s="638">
        <f t="shared" si="25"/>
        <v>0.76766030329567514</v>
      </c>
      <c r="AJ45" s="638">
        <f t="shared" si="25"/>
        <v>0.84123638415618374</v>
      </c>
      <c r="AK45" s="638">
        <f t="shared" si="25"/>
        <v>0.82573756262670983</v>
      </c>
      <c r="AL45" s="638">
        <f t="shared" si="25"/>
        <v>0.62315114705203023</v>
      </c>
      <c r="AM45" s="638">
        <f t="shared" si="25"/>
        <v>0.63174425320275662</v>
      </c>
      <c r="AN45" s="638">
        <f t="shared" si="25"/>
        <v>0.67590453933114547</v>
      </c>
      <c r="AO45" s="638">
        <f t="shared" si="25"/>
        <v>0.62390403205191214</v>
      </c>
      <c r="AP45" s="638">
        <f t="shared" si="25"/>
        <v>0.62282146601137556</v>
      </c>
      <c r="AQ45" s="638">
        <f t="shared" si="25"/>
        <v>0.58933227914608088</v>
      </c>
      <c r="AR45" s="638">
        <f t="shared" si="25"/>
        <v>0.58670909296575213</v>
      </c>
      <c r="AS45" s="638">
        <f t="shared" si="25"/>
        <v>0.59093891596070736</v>
      </c>
      <c r="AT45" s="675">
        <f t="shared" si="25"/>
        <v>0.6442301945916874</v>
      </c>
      <c r="AU45" s="504"/>
    </row>
    <row r="46" spans="1:47" s="2" customFormat="1" ht="6" customHeight="1">
      <c r="N46" s="236"/>
      <c r="O46" s="236"/>
      <c r="P46" s="506"/>
      <c r="Q46" s="506"/>
      <c r="R46" s="506"/>
      <c r="S46" s="506"/>
      <c r="T46" s="506"/>
      <c r="U46" s="506"/>
      <c r="W46" s="506"/>
      <c r="X46" s="506"/>
    </row>
    <row r="47" spans="1:47">
      <c r="A47" s="1" t="s">
        <v>61</v>
      </c>
      <c r="B47" s="5">
        <v>1</v>
      </c>
      <c r="C47" s="5">
        <v>3</v>
      </c>
      <c r="D47" s="5">
        <v>2</v>
      </c>
      <c r="E47" s="5">
        <v>4</v>
      </c>
      <c r="F47" s="1"/>
      <c r="H47" s="1"/>
      <c r="I47" s="502">
        <v>1</v>
      </c>
      <c r="J47" s="502">
        <v>3</v>
      </c>
      <c r="K47" s="502">
        <v>2</v>
      </c>
      <c r="L47" s="502">
        <v>4</v>
      </c>
      <c r="P47" s="5">
        <v>3</v>
      </c>
      <c r="Q47" s="213">
        <v>1</v>
      </c>
      <c r="R47" s="169">
        <v>2</v>
      </c>
      <c r="S47" s="193">
        <v>4</v>
      </c>
      <c r="T47" s="291">
        <v>9</v>
      </c>
      <c r="U47" s="280">
        <v>5</v>
      </c>
      <c r="V47" s="305">
        <v>6</v>
      </c>
      <c r="W47" s="315">
        <v>7</v>
      </c>
      <c r="X47" s="326">
        <v>8</v>
      </c>
      <c r="Y47" s="780">
        <v>10</v>
      </c>
      <c r="Z47" s="794">
        <v>11</v>
      </c>
      <c r="AA47" s="5">
        <v>12</v>
      </c>
      <c r="AB47" s="5">
        <v>13</v>
      </c>
      <c r="AC47" s="144"/>
      <c r="AD47" s="144"/>
      <c r="AE47" s="676"/>
      <c r="AF47" s="144"/>
      <c r="AG47" s="146"/>
      <c r="AH47" s="146"/>
      <c r="AI47" s="146"/>
      <c r="AJ47" s="146"/>
      <c r="AK47" s="677"/>
      <c r="AL47" s="146"/>
      <c r="AM47" s="146"/>
      <c r="AN47" s="146"/>
      <c r="AO47" s="146"/>
      <c r="AP47" s="146"/>
      <c r="AQ47" s="146"/>
      <c r="AR47" s="146"/>
      <c r="AS47" s="146"/>
      <c r="AT47" s="146"/>
    </row>
    <row r="48" spans="1:47">
      <c r="F48" s="1"/>
      <c r="H48" s="1"/>
      <c r="AD48" s="1"/>
      <c r="AF48" s="1"/>
    </row>
  </sheetData>
  <pageMargins left="0.25" right="0.25" top="0.75" bottom="0.75" header="0.3" footer="0.3"/>
  <pageSetup paperSize="9" scale="35" orientation="landscape" r:id="rId1"/>
  <ignoredErrors>
    <ignoredError sqref="Z18 P31:P33 R18 AA18 S18:W18" formula="1"/>
    <ignoredError sqref="Q28:AB29 Q38:AB38 Q39:AB39 Q30:AB34 Q16:AB16 Q42:AA42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49"/>
  <sheetViews>
    <sheetView zoomScale="80" zoomScaleNormal="80" workbookViewId="0">
      <pane xSplit="1" ySplit="1" topLeftCell="AS2" activePane="bottomRight" state="frozen"/>
      <selection pane="topRight"/>
      <selection pane="bottomLeft"/>
      <selection pane="bottomRight"/>
    </sheetView>
  </sheetViews>
  <sheetFormatPr baseColWidth="10" defaultRowHeight="15" outlineLevelCol="1"/>
  <cols>
    <col min="1" max="1" width="74.140625" style="1" bestFit="1" customWidth="1"/>
    <col min="2" max="2" width="7.5703125" style="3" bestFit="1" customWidth="1"/>
    <col min="3" max="3" width="6.5703125" style="3" hidden="1" customWidth="1" outlineLevel="1"/>
    <col min="4" max="4" width="8.85546875" style="229" hidden="1" customWidth="1" outlineLevel="1"/>
    <col min="5" max="5" width="6.7109375" style="3" bestFit="1" customWidth="1" collapsed="1"/>
    <col min="6" max="6" width="6.5703125" style="3" hidden="1" customWidth="1" outlineLevel="1"/>
    <col min="7" max="7" width="7.28515625" style="229" hidden="1" customWidth="1" outlineLevel="1"/>
    <col min="8" max="8" width="9.28515625" style="3" bestFit="1" customWidth="1" collapsed="1"/>
    <col min="9" max="9" width="6.5703125" style="3" hidden="1" customWidth="1" outlineLevel="1"/>
    <col min="10" max="10" width="8.85546875" style="229" hidden="1" customWidth="1" outlineLevel="1"/>
    <col min="11" max="11" width="7.140625" style="3" bestFit="1" customWidth="1" collapsed="1"/>
    <col min="12" max="12" width="6.5703125" style="3" hidden="1" customWidth="1" outlineLevel="1"/>
    <col min="13" max="13" width="7.28515625" style="229" hidden="1" customWidth="1" outlineLevel="1"/>
    <col min="14" max="14" width="12.140625" style="3" bestFit="1" customWidth="1" collapsed="1"/>
    <col min="15" max="15" width="11" style="3" bestFit="1" customWidth="1"/>
    <col min="16" max="16" width="9.85546875" style="3" bestFit="1" customWidth="1"/>
    <col min="17" max="17" width="11.5703125" style="3" bestFit="1" customWidth="1"/>
    <col min="18" max="18" width="7.140625" style="3" bestFit="1" customWidth="1"/>
    <col min="19" max="19" width="6.140625" style="3" bestFit="1" customWidth="1"/>
    <col min="20" max="20" width="6.140625" style="502" bestFit="1" customWidth="1"/>
    <col min="21" max="21" width="11" style="502" customWidth="1"/>
    <col min="22" max="22" width="8.140625" style="3" bestFit="1" customWidth="1"/>
    <col min="23" max="23" width="8.85546875" style="3" customWidth="1"/>
    <col min="24" max="24" width="6.7109375" style="3" bestFit="1" customWidth="1"/>
    <col min="25" max="25" width="8.42578125" style="3" bestFit="1" customWidth="1"/>
    <col min="26" max="26" width="9.28515625" style="3" bestFit="1" customWidth="1"/>
    <col min="27" max="27" width="6.5703125" style="3" bestFit="1" customWidth="1"/>
    <col min="28" max="28" width="7.140625" style="3" bestFit="1" customWidth="1"/>
    <col min="29" max="29" width="8.140625" style="502" bestFit="1" customWidth="1"/>
    <col min="30" max="30" width="7.140625" style="502" bestFit="1" customWidth="1"/>
    <col min="31" max="31" width="9.42578125" style="502" bestFit="1" customWidth="1"/>
    <col min="32" max="32" width="7.140625" style="502" bestFit="1" customWidth="1"/>
    <col min="33" max="33" width="9.28515625" style="502" bestFit="1" customWidth="1"/>
    <col min="34" max="34" width="9.140625" style="502" bestFit="1" customWidth="1"/>
    <col min="35" max="35" width="7.85546875" style="502" bestFit="1" customWidth="1"/>
    <col min="36" max="36" width="6.28515625" style="502" bestFit="1" customWidth="1"/>
    <col min="37" max="37" width="7.28515625" style="3" bestFit="1" customWidth="1"/>
    <col min="38" max="38" width="7.7109375" style="502" bestFit="1" customWidth="1"/>
    <col min="39" max="39" width="7.85546875" style="502" bestFit="1" customWidth="1"/>
    <col min="40" max="40" width="10.28515625" style="3" bestFit="1" customWidth="1"/>
    <col min="41" max="41" width="6.7109375" style="3" bestFit="1" customWidth="1"/>
    <col min="42" max="42" width="7.140625" style="3" bestFit="1" customWidth="1"/>
    <col min="43" max="43" width="6.5703125" style="3" bestFit="1" customWidth="1"/>
    <col min="44" max="44" width="6.140625" style="502" bestFit="1" customWidth="1"/>
    <col min="45" max="45" width="10.7109375" style="502" bestFit="1" customWidth="1"/>
    <col min="46" max="46" width="6.5703125" style="3" bestFit="1" customWidth="1"/>
    <col min="47" max="47" width="6.28515625" style="502" customWidth="1"/>
    <col min="48" max="48" width="7.42578125" style="502" bestFit="1" customWidth="1"/>
    <col min="49" max="49" width="7.85546875" style="502" bestFit="1" customWidth="1"/>
    <col min="50" max="50" width="8.42578125" style="3" bestFit="1" customWidth="1"/>
    <col min="51" max="51" width="7.42578125" style="502" bestFit="1" customWidth="1"/>
    <col min="52" max="52" width="7.85546875" style="502" bestFit="1" customWidth="1"/>
    <col min="53" max="53" width="6.140625" style="502" bestFit="1" customWidth="1"/>
    <col min="54" max="54" width="7.7109375" style="502" bestFit="1" customWidth="1"/>
    <col min="55" max="55" width="8" style="502" bestFit="1" customWidth="1"/>
    <col min="56" max="56" width="6.42578125" style="502" bestFit="1" customWidth="1"/>
    <col min="57" max="57" width="6.140625" style="502" bestFit="1" customWidth="1"/>
    <col min="58" max="58" width="6.28515625" style="502" bestFit="1" customWidth="1"/>
    <col min="59" max="59" width="7.42578125" style="502" bestFit="1" customWidth="1" collapsed="1"/>
    <col min="60" max="60" width="9.28515625" style="502" bestFit="1" customWidth="1"/>
    <col min="61" max="61" width="9.140625" style="502" bestFit="1" customWidth="1"/>
    <col min="62" max="62" width="7.42578125" style="502" bestFit="1" customWidth="1"/>
    <col min="63" max="63" width="11.5703125" style="502" bestFit="1" customWidth="1"/>
    <col min="64" max="64" width="6.5703125" style="502" bestFit="1" customWidth="1"/>
    <col min="65" max="65" width="7.7109375" style="502" bestFit="1" customWidth="1"/>
    <col min="66" max="66" width="9.42578125" style="502" bestFit="1" customWidth="1"/>
    <col min="67" max="67" width="8.5703125" style="502" bestFit="1" customWidth="1"/>
    <col min="68" max="68" width="7.140625" style="502" bestFit="1" customWidth="1"/>
    <col min="69" max="69" width="2.7109375" style="106" customWidth="1"/>
    <col min="70" max="70" width="9.42578125" style="218" bestFit="1" customWidth="1"/>
    <col min="71" max="71" width="9.42578125" style="218" customWidth="1"/>
    <col min="72" max="72" width="2.7109375" style="106" customWidth="1"/>
    <col min="73" max="76" width="6.140625" style="3" bestFit="1" customWidth="1"/>
    <col min="77" max="77" width="7.28515625" style="3" bestFit="1" customWidth="1"/>
    <col min="78" max="79" width="6.140625" style="3" bestFit="1" customWidth="1"/>
    <col min="80" max="80" width="6.7109375" style="3" bestFit="1" customWidth="1"/>
    <col min="81" max="81" width="7" style="3" bestFit="1" customWidth="1"/>
    <col min="82" max="82" width="6.140625" style="3" bestFit="1" customWidth="1"/>
    <col min="83" max="84" width="6.140625" style="502" bestFit="1" customWidth="1"/>
    <col min="85" max="85" width="7.28515625" style="3" bestFit="1" customWidth="1"/>
    <col min="86" max="86" width="7.85546875" style="3" bestFit="1" customWidth="1"/>
    <col min="87" max="90" width="6.140625" style="3" bestFit="1" customWidth="1"/>
    <col min="91" max="92" width="6.140625" style="502" bestFit="1" customWidth="1"/>
    <col min="93" max="93" width="7.42578125" style="502" customWidth="1"/>
    <col min="94" max="94" width="6.140625" style="502" bestFit="1" customWidth="1"/>
    <col min="95" max="95" width="6.140625" style="3" bestFit="1" customWidth="1"/>
    <col min="96" max="98" width="6.140625" style="502" bestFit="1" customWidth="1"/>
    <col min="99" max="99" width="6.5703125" style="502" bestFit="1" customWidth="1"/>
    <col min="100" max="100" width="6.140625" style="3" bestFit="1" customWidth="1"/>
    <col min="101" max="102" width="6.140625" style="502" bestFit="1" customWidth="1"/>
    <col min="103" max="104" width="6.28515625" style="3" customWidth="1"/>
    <col min="105" max="106" width="6.140625" style="502" bestFit="1" customWidth="1"/>
    <col min="107" max="107" width="7.42578125" style="3" bestFit="1" customWidth="1"/>
    <col min="108" max="108" width="6.140625" style="3" bestFit="1" customWidth="1"/>
    <col min="109" max="110" width="6.140625" style="502" bestFit="1" customWidth="1"/>
    <col min="111" max="111" width="7.42578125" style="502" bestFit="1" customWidth="1"/>
    <col min="112" max="113" width="6.7109375" style="3" bestFit="1" customWidth="1"/>
    <col min="114" max="121" width="6.140625" style="502" bestFit="1" customWidth="1"/>
    <col min="122" max="122" width="7.42578125" style="502" bestFit="1" customWidth="1"/>
    <col min="123" max="123" width="6.140625" style="502" bestFit="1" customWidth="1"/>
    <col min="124" max="124" width="6.28515625" style="502" bestFit="1" customWidth="1"/>
    <col min="125" max="125" width="7.42578125" style="502" bestFit="1" customWidth="1"/>
    <col min="126" max="128" width="6.28515625" style="502" bestFit="1" customWidth="1"/>
    <col min="129" max="129" width="6.5703125" style="502" bestFit="1" customWidth="1"/>
    <col min="130" max="130" width="7.42578125" style="502" bestFit="1" customWidth="1"/>
    <col min="131" max="131" width="6.28515625" style="502" bestFit="1" customWidth="1"/>
    <col min="132" max="132" width="1.7109375" style="2" customWidth="1"/>
    <col min="133" max="16384" width="11.42578125" style="1"/>
  </cols>
  <sheetData>
    <row r="1" spans="1:132">
      <c r="A1" s="488"/>
      <c r="B1" s="30" t="s">
        <v>0</v>
      </c>
      <c r="C1" s="30"/>
      <c r="D1" s="883" t="s">
        <v>205</v>
      </c>
      <c r="E1" s="30" t="s">
        <v>1</v>
      </c>
      <c r="F1" s="30"/>
      <c r="G1" s="883" t="s">
        <v>122</v>
      </c>
      <c r="H1" s="18" t="s">
        <v>53</v>
      </c>
      <c r="I1" s="18"/>
      <c r="J1" s="883" t="s">
        <v>205</v>
      </c>
      <c r="K1" s="29" t="s">
        <v>56</v>
      </c>
      <c r="L1" s="29"/>
      <c r="M1" s="883" t="s">
        <v>122</v>
      </c>
      <c r="N1" s="201" t="s">
        <v>120</v>
      </c>
      <c r="O1" s="201" t="s">
        <v>121</v>
      </c>
      <c r="P1" s="202" t="s">
        <v>118</v>
      </c>
      <c r="Q1" s="203" t="s">
        <v>119</v>
      </c>
      <c r="R1" s="152" t="s">
        <v>99</v>
      </c>
      <c r="S1" s="152" t="s">
        <v>100</v>
      </c>
      <c r="T1" s="153" t="s">
        <v>101</v>
      </c>
      <c r="U1" s="154" t="s">
        <v>102</v>
      </c>
      <c r="V1" s="153" t="s">
        <v>113</v>
      </c>
      <c r="W1" s="154" t="s">
        <v>147</v>
      </c>
      <c r="X1" s="182" t="s">
        <v>1</v>
      </c>
      <c r="Y1" s="182" t="s">
        <v>104</v>
      </c>
      <c r="Z1" s="183" t="s">
        <v>53</v>
      </c>
      <c r="AA1" s="184" t="s">
        <v>96</v>
      </c>
      <c r="AB1" s="281" t="s">
        <v>54</v>
      </c>
      <c r="AC1" s="281" t="s">
        <v>149</v>
      </c>
      <c r="AD1" s="281" t="s">
        <v>57</v>
      </c>
      <c r="AE1" s="281" t="s">
        <v>115</v>
      </c>
      <c r="AF1" s="281" t="s">
        <v>116</v>
      </c>
      <c r="AG1" s="270" t="s">
        <v>53</v>
      </c>
      <c r="AH1" s="270" t="s">
        <v>137</v>
      </c>
      <c r="AI1" s="270" t="s">
        <v>132</v>
      </c>
      <c r="AJ1" s="270" t="s">
        <v>135</v>
      </c>
      <c r="AK1" s="270" t="s">
        <v>136</v>
      </c>
      <c r="AL1" s="296" t="s">
        <v>9</v>
      </c>
      <c r="AM1" s="296" t="s">
        <v>132</v>
      </c>
      <c r="AN1" s="296" t="s">
        <v>133</v>
      </c>
      <c r="AO1" s="296" t="s">
        <v>134</v>
      </c>
      <c r="AP1" s="306" t="s">
        <v>139</v>
      </c>
      <c r="AQ1" s="306" t="s">
        <v>140</v>
      </c>
      <c r="AR1" s="306" t="s">
        <v>141</v>
      </c>
      <c r="AS1" s="306" t="s">
        <v>142</v>
      </c>
      <c r="AT1" s="316" t="s">
        <v>96</v>
      </c>
      <c r="AU1" s="316" t="s">
        <v>94</v>
      </c>
      <c r="AV1" s="316" t="s">
        <v>168</v>
      </c>
      <c r="AW1" s="316" t="s">
        <v>95</v>
      </c>
      <c r="AX1" s="316" t="s">
        <v>93</v>
      </c>
      <c r="AY1" s="809" t="s">
        <v>164</v>
      </c>
      <c r="AZ1" s="809" t="s">
        <v>172</v>
      </c>
      <c r="BA1" s="809" t="s">
        <v>101</v>
      </c>
      <c r="BB1" s="809" t="s">
        <v>169</v>
      </c>
      <c r="BC1" s="800" t="s">
        <v>164</v>
      </c>
      <c r="BD1" s="800" t="s">
        <v>165</v>
      </c>
      <c r="BE1" s="800" t="s">
        <v>166</v>
      </c>
      <c r="BF1" s="800" t="s">
        <v>167</v>
      </c>
      <c r="BG1" s="30" t="s">
        <v>106</v>
      </c>
      <c r="BH1" s="30" t="s">
        <v>107</v>
      </c>
      <c r="BI1" s="18" t="s">
        <v>55</v>
      </c>
      <c r="BJ1" s="822" t="s">
        <v>108</v>
      </c>
      <c r="BK1" s="30" t="s">
        <v>150</v>
      </c>
      <c r="BL1" s="30" t="s">
        <v>110</v>
      </c>
      <c r="BM1" s="18" t="s">
        <v>111</v>
      </c>
      <c r="BN1" s="29" t="s">
        <v>151</v>
      </c>
      <c r="BO1" s="18" t="s">
        <v>109</v>
      </c>
      <c r="BP1" s="29" t="s">
        <v>57</v>
      </c>
      <c r="BQ1" s="1"/>
      <c r="BR1" s="218" t="s">
        <v>51</v>
      </c>
      <c r="BS1" s="218" t="s">
        <v>243</v>
      </c>
      <c r="BT1" s="1"/>
      <c r="BU1" s="3" t="s">
        <v>50</v>
      </c>
      <c r="BV1" s="3" t="s">
        <v>49</v>
      </c>
      <c r="BW1" s="16" t="s">
        <v>52</v>
      </c>
      <c r="BX1" s="3" t="s">
        <v>60</v>
      </c>
      <c r="BY1" s="194" t="s">
        <v>178</v>
      </c>
      <c r="BZ1" s="194" t="s">
        <v>179</v>
      </c>
      <c r="CA1" s="195" t="s">
        <v>180</v>
      </c>
      <c r="CB1" s="194" t="s">
        <v>181</v>
      </c>
      <c r="CC1" s="170" t="s">
        <v>183</v>
      </c>
      <c r="CD1" s="170" t="s">
        <v>184</v>
      </c>
      <c r="CE1" s="598" t="s">
        <v>67</v>
      </c>
      <c r="CF1" s="170" t="s">
        <v>185</v>
      </c>
      <c r="CG1" s="156" t="s">
        <v>186</v>
      </c>
      <c r="CH1" s="170" t="s">
        <v>187</v>
      </c>
      <c r="CI1" s="174" t="s">
        <v>49</v>
      </c>
      <c r="CJ1" s="174" t="s">
        <v>58</v>
      </c>
      <c r="CK1" s="175" t="s">
        <v>52</v>
      </c>
      <c r="CL1" s="174" t="s">
        <v>67</v>
      </c>
      <c r="CM1" s="281" t="s">
        <v>58</v>
      </c>
      <c r="CN1" s="281" t="s">
        <v>50</v>
      </c>
      <c r="CO1" s="281" t="s">
        <v>159</v>
      </c>
      <c r="CP1" s="281" t="s">
        <v>188</v>
      </c>
      <c r="CQ1" s="281" t="s">
        <v>67</v>
      </c>
      <c r="CR1" s="270" t="s">
        <v>52</v>
      </c>
      <c r="CS1" s="270" t="s">
        <v>185</v>
      </c>
      <c r="CT1" s="270" t="s">
        <v>189</v>
      </c>
      <c r="CU1" s="270" t="s">
        <v>195</v>
      </c>
      <c r="CV1" s="270" t="s">
        <v>67</v>
      </c>
      <c r="CW1" s="296" t="s">
        <v>52</v>
      </c>
      <c r="CX1" s="296" t="s">
        <v>189</v>
      </c>
      <c r="CY1" s="296" t="s">
        <v>190</v>
      </c>
      <c r="CZ1" s="296" t="s">
        <v>191</v>
      </c>
      <c r="DA1" s="306" t="s">
        <v>49</v>
      </c>
      <c r="DB1" s="306" t="s">
        <v>60</v>
      </c>
      <c r="DC1" s="306" t="s">
        <v>192</v>
      </c>
      <c r="DD1" s="306" t="s">
        <v>52</v>
      </c>
      <c r="DE1" s="316" t="s">
        <v>67</v>
      </c>
      <c r="DF1" s="316" t="s">
        <v>179</v>
      </c>
      <c r="DG1" s="316" t="s">
        <v>52</v>
      </c>
      <c r="DH1" s="316" t="s">
        <v>193</v>
      </c>
      <c r="DI1" s="316" t="s">
        <v>194</v>
      </c>
      <c r="DJ1" s="795" t="s">
        <v>196</v>
      </c>
      <c r="DK1" s="795" t="s">
        <v>185</v>
      </c>
      <c r="DL1" s="795" t="s">
        <v>67</v>
      </c>
      <c r="DM1" s="795" t="s">
        <v>50</v>
      </c>
      <c r="DN1" s="800" t="s">
        <v>196</v>
      </c>
      <c r="DO1" s="800" t="s">
        <v>58</v>
      </c>
      <c r="DP1" s="800" t="s">
        <v>188</v>
      </c>
      <c r="DQ1" s="800" t="s">
        <v>185</v>
      </c>
      <c r="DR1" s="502" t="s">
        <v>159</v>
      </c>
      <c r="DS1" s="502" t="s">
        <v>197</v>
      </c>
      <c r="DT1" s="510" t="s">
        <v>190</v>
      </c>
      <c r="DU1" s="840" t="s">
        <v>198</v>
      </c>
      <c r="DV1" s="502" t="s">
        <v>199</v>
      </c>
      <c r="DW1" s="502" t="s">
        <v>200</v>
      </c>
      <c r="DX1" s="510" t="s">
        <v>201</v>
      </c>
      <c r="DY1" s="502" t="s">
        <v>202</v>
      </c>
      <c r="DZ1" s="510" t="s">
        <v>203</v>
      </c>
      <c r="EA1" s="502" t="s">
        <v>204</v>
      </c>
    </row>
    <row r="2" spans="1:132">
      <c r="A2" s="1" t="s">
        <v>48</v>
      </c>
      <c r="B2" s="17">
        <f>'Teamprofile (8)'!B2</f>
        <v>25</v>
      </c>
      <c r="C2" s="17"/>
      <c r="D2" s="886">
        <v>20</v>
      </c>
      <c r="E2" s="17">
        <f>'Teamprofile (8)'!C2</f>
        <v>25</v>
      </c>
      <c r="F2" s="17"/>
      <c r="G2" s="884">
        <v>13</v>
      </c>
      <c r="H2" s="17">
        <f>'Teamprofile (8)'!D2</f>
        <v>25</v>
      </c>
      <c r="I2" s="17"/>
      <c r="J2" s="884">
        <v>21</v>
      </c>
      <c r="K2" s="16">
        <f>'Teamprofile (8)'!E2</f>
        <v>25</v>
      </c>
      <c r="L2" s="16"/>
      <c r="M2" s="884">
        <v>12</v>
      </c>
      <c r="N2" s="204">
        <v>25</v>
      </c>
      <c r="O2" s="204">
        <v>25</v>
      </c>
      <c r="P2" s="204">
        <v>25</v>
      </c>
      <c r="Q2" s="195">
        <v>25</v>
      </c>
      <c r="R2" s="155">
        <v>25</v>
      </c>
      <c r="S2" s="155">
        <v>19</v>
      </c>
      <c r="T2" s="155">
        <v>17</v>
      </c>
      <c r="U2" s="598">
        <v>22</v>
      </c>
      <c r="V2" s="155">
        <v>12</v>
      </c>
      <c r="W2" s="156">
        <v>5</v>
      </c>
      <c r="X2" s="185">
        <v>27</v>
      </c>
      <c r="Y2" s="185">
        <v>27</v>
      </c>
      <c r="Z2" s="185">
        <v>27</v>
      </c>
      <c r="AA2" s="175">
        <v>27</v>
      </c>
      <c r="AB2" s="282">
        <v>17</v>
      </c>
      <c r="AC2" s="282">
        <v>6</v>
      </c>
      <c r="AD2" s="282">
        <v>11</v>
      </c>
      <c r="AE2" s="282">
        <v>17</v>
      </c>
      <c r="AF2" s="282">
        <v>17</v>
      </c>
      <c r="AG2" s="271">
        <v>15</v>
      </c>
      <c r="AH2" s="271">
        <v>13</v>
      </c>
      <c r="AI2" s="271">
        <v>16</v>
      </c>
      <c r="AJ2" s="271">
        <v>16</v>
      </c>
      <c r="AK2" s="271">
        <v>12</v>
      </c>
      <c r="AL2" s="297">
        <v>17</v>
      </c>
      <c r="AM2" s="297">
        <v>17</v>
      </c>
      <c r="AN2" s="297">
        <v>17</v>
      </c>
      <c r="AO2" s="297">
        <v>17</v>
      </c>
      <c r="AP2" s="307">
        <v>17</v>
      </c>
      <c r="AQ2" s="307">
        <v>17</v>
      </c>
      <c r="AR2" s="307">
        <v>17</v>
      </c>
      <c r="AS2" s="307">
        <v>17</v>
      </c>
      <c r="AT2" s="317">
        <v>12</v>
      </c>
      <c r="AU2" s="317">
        <v>12</v>
      </c>
      <c r="AV2" s="317">
        <v>8</v>
      </c>
      <c r="AW2" s="317">
        <v>12</v>
      </c>
      <c r="AX2" s="317">
        <v>12</v>
      </c>
      <c r="AY2" s="768">
        <v>15</v>
      </c>
      <c r="AZ2" s="768">
        <v>15</v>
      </c>
      <c r="BA2" s="768">
        <v>15</v>
      </c>
      <c r="BB2" s="768">
        <v>15</v>
      </c>
      <c r="BC2" s="782">
        <v>14</v>
      </c>
      <c r="BD2" s="782">
        <v>14</v>
      </c>
      <c r="BE2" s="782">
        <v>14</v>
      </c>
      <c r="BF2" s="782">
        <v>14</v>
      </c>
      <c r="BG2" s="17">
        <v>16</v>
      </c>
      <c r="BH2" s="17">
        <v>16</v>
      </c>
      <c r="BI2" s="17">
        <v>16</v>
      </c>
      <c r="BJ2" s="823">
        <v>16</v>
      </c>
      <c r="BK2" s="17">
        <v>10</v>
      </c>
      <c r="BL2" s="17">
        <v>6</v>
      </c>
      <c r="BM2" s="17">
        <v>12</v>
      </c>
      <c r="BN2" s="510">
        <v>6</v>
      </c>
      <c r="BO2" s="17">
        <v>8</v>
      </c>
      <c r="BP2" s="510">
        <v>6</v>
      </c>
      <c r="BQ2" s="1"/>
      <c r="BT2" s="1"/>
      <c r="BY2" s="194"/>
      <c r="BZ2" s="194"/>
      <c r="CA2" s="194"/>
      <c r="CB2" s="194"/>
      <c r="CC2" s="170"/>
      <c r="CD2" s="170"/>
      <c r="CE2" s="170"/>
      <c r="CF2" s="170"/>
      <c r="CG2" s="170"/>
      <c r="CH2" s="170"/>
      <c r="CI2" s="174"/>
      <c r="CJ2" s="174"/>
      <c r="CK2" s="174"/>
      <c r="CL2" s="174"/>
      <c r="CM2" s="282"/>
      <c r="CN2" s="282"/>
      <c r="CO2" s="282"/>
      <c r="CP2" s="282"/>
      <c r="CQ2" s="282"/>
      <c r="CR2" s="271"/>
      <c r="CS2" s="271"/>
      <c r="CT2" s="271"/>
      <c r="CU2" s="271"/>
      <c r="CV2" s="271"/>
      <c r="CW2" s="297"/>
      <c r="CX2" s="297"/>
      <c r="CY2" s="297"/>
      <c r="CZ2" s="297"/>
      <c r="DA2" s="307"/>
      <c r="DB2" s="307"/>
      <c r="DC2" s="307"/>
      <c r="DD2" s="307"/>
      <c r="DE2" s="317"/>
      <c r="DF2" s="317"/>
      <c r="DG2" s="317"/>
      <c r="DH2" s="317"/>
      <c r="DI2" s="317"/>
      <c r="DJ2" s="768"/>
      <c r="DK2" s="768"/>
      <c r="DL2" s="768"/>
      <c r="DM2" s="768"/>
      <c r="DN2" s="782"/>
      <c r="DO2" s="782"/>
      <c r="DP2" s="782"/>
      <c r="DQ2" s="782"/>
      <c r="DU2" s="840"/>
      <c r="EB2" s="10"/>
    </row>
    <row r="3" spans="1:132">
      <c r="A3" s="1" t="s">
        <v>47</v>
      </c>
      <c r="B3" s="17">
        <f>'Teamprofile (8)'!B3</f>
        <v>2</v>
      </c>
      <c r="C3" s="17"/>
      <c r="D3" s="886">
        <v>5</v>
      </c>
      <c r="E3" s="17">
        <f>'Teamprofile (8)'!C3</f>
        <v>4</v>
      </c>
      <c r="F3" s="17"/>
      <c r="G3" s="891">
        <v>3</v>
      </c>
      <c r="H3" s="19">
        <f>'Teamprofile (8)'!D3</f>
        <v>5</v>
      </c>
      <c r="I3" s="19"/>
      <c r="J3" s="884">
        <v>4</v>
      </c>
      <c r="K3" s="16">
        <f>'Teamprofile (8)'!E3</f>
        <v>3</v>
      </c>
      <c r="L3" s="16"/>
      <c r="M3" s="884">
        <v>0</v>
      </c>
      <c r="N3" s="204">
        <v>3</v>
      </c>
      <c r="O3" s="204">
        <v>6</v>
      </c>
      <c r="P3" s="205">
        <v>3</v>
      </c>
      <c r="Q3" s="195">
        <v>6</v>
      </c>
      <c r="R3" s="155">
        <v>4</v>
      </c>
      <c r="S3" s="155">
        <v>0</v>
      </c>
      <c r="T3" s="157">
        <v>5</v>
      </c>
      <c r="U3" s="598">
        <v>3</v>
      </c>
      <c r="V3" s="157">
        <v>2</v>
      </c>
      <c r="W3" s="156">
        <v>0</v>
      </c>
      <c r="X3" s="185">
        <v>3</v>
      </c>
      <c r="Y3" s="185">
        <v>4</v>
      </c>
      <c r="Z3" s="186">
        <v>6</v>
      </c>
      <c r="AA3" s="175">
        <v>3</v>
      </c>
      <c r="AB3" s="282">
        <v>4</v>
      </c>
      <c r="AC3" s="282">
        <v>1</v>
      </c>
      <c r="AD3" s="282">
        <v>3</v>
      </c>
      <c r="AE3" s="282">
        <v>1</v>
      </c>
      <c r="AF3" s="282">
        <v>1</v>
      </c>
      <c r="AG3" s="271">
        <v>2</v>
      </c>
      <c r="AH3" s="271">
        <v>0</v>
      </c>
      <c r="AI3" s="271">
        <v>0</v>
      </c>
      <c r="AJ3" s="271">
        <v>3</v>
      </c>
      <c r="AK3" s="271">
        <v>4</v>
      </c>
      <c r="AL3" s="297">
        <v>1</v>
      </c>
      <c r="AM3" s="297">
        <v>1</v>
      </c>
      <c r="AN3" s="297">
        <v>4</v>
      </c>
      <c r="AO3" s="297">
        <v>3</v>
      </c>
      <c r="AP3" s="307">
        <v>1</v>
      </c>
      <c r="AQ3" s="307">
        <v>3</v>
      </c>
      <c r="AR3" s="307">
        <v>2</v>
      </c>
      <c r="AS3" s="307">
        <v>2</v>
      </c>
      <c r="AT3" s="317">
        <v>2</v>
      </c>
      <c r="AU3" s="317">
        <v>0</v>
      </c>
      <c r="AV3" s="317">
        <v>2</v>
      </c>
      <c r="AW3" s="317">
        <v>2</v>
      </c>
      <c r="AX3" s="317">
        <v>1</v>
      </c>
      <c r="AY3" s="768">
        <v>3</v>
      </c>
      <c r="AZ3" s="768">
        <v>1</v>
      </c>
      <c r="BA3" s="768">
        <v>0</v>
      </c>
      <c r="BB3" s="768">
        <v>3</v>
      </c>
      <c r="BC3" s="782">
        <v>0</v>
      </c>
      <c r="BD3" s="782">
        <v>3</v>
      </c>
      <c r="BE3" s="782">
        <v>1</v>
      </c>
      <c r="BF3" s="782">
        <v>0</v>
      </c>
      <c r="BG3" s="17">
        <v>1</v>
      </c>
      <c r="BH3" s="17">
        <v>0</v>
      </c>
      <c r="BI3" s="19">
        <v>1</v>
      </c>
      <c r="BJ3" s="823">
        <v>1</v>
      </c>
      <c r="BK3" s="17">
        <v>1</v>
      </c>
      <c r="BL3" s="17">
        <v>0</v>
      </c>
      <c r="BM3" s="19">
        <v>0</v>
      </c>
      <c r="BN3" s="510">
        <v>0</v>
      </c>
      <c r="BO3" s="19">
        <v>0</v>
      </c>
      <c r="BP3" s="510">
        <v>0</v>
      </c>
      <c r="BQ3" s="1"/>
      <c r="BT3" s="1"/>
      <c r="BY3" s="194"/>
      <c r="BZ3" s="194"/>
      <c r="CA3" s="194"/>
      <c r="CB3" s="194"/>
      <c r="CC3" s="170"/>
      <c r="CD3" s="170"/>
      <c r="CE3" s="170"/>
      <c r="CF3" s="170"/>
      <c r="CG3" s="170"/>
      <c r="CH3" s="170"/>
      <c r="CI3" s="174"/>
      <c r="CJ3" s="174"/>
      <c r="CK3" s="174"/>
      <c r="CL3" s="174"/>
      <c r="CM3" s="282"/>
      <c r="CN3" s="282"/>
      <c r="CO3" s="282"/>
      <c r="CP3" s="282"/>
      <c r="CQ3" s="282"/>
      <c r="CR3" s="271"/>
      <c r="CS3" s="271"/>
      <c r="CT3" s="271"/>
      <c r="CU3" s="271"/>
      <c r="CV3" s="271"/>
      <c r="CW3" s="297"/>
      <c r="CX3" s="297"/>
      <c r="CY3" s="297"/>
      <c r="CZ3" s="297"/>
      <c r="DA3" s="307"/>
      <c r="DB3" s="307"/>
      <c r="DC3" s="307"/>
      <c r="DD3" s="307"/>
      <c r="DE3" s="317"/>
      <c r="DF3" s="317"/>
      <c r="DG3" s="317"/>
      <c r="DH3" s="317"/>
      <c r="DI3" s="317"/>
      <c r="DJ3" s="768"/>
      <c r="DK3" s="768"/>
      <c r="DL3" s="768"/>
      <c r="DM3" s="768"/>
      <c r="DN3" s="782"/>
      <c r="DO3" s="782"/>
      <c r="DP3" s="782"/>
      <c r="DQ3" s="782"/>
      <c r="DU3" s="840"/>
      <c r="EB3" s="10"/>
    </row>
    <row r="4" spans="1:132" s="6" customFormat="1" ht="15.75">
      <c r="A4" s="24" t="s">
        <v>46</v>
      </c>
      <c r="B4" s="882">
        <f>'Teamprofile (8)'!B4</f>
        <v>0.08</v>
      </c>
      <c r="C4" s="414">
        <f>(B4/D4)-1</f>
        <v>-0.67999999999999994</v>
      </c>
      <c r="D4" s="890">
        <v>0.25</v>
      </c>
      <c r="E4" s="882">
        <f>'Teamprofile (8)'!C4</f>
        <v>0.16</v>
      </c>
      <c r="F4" s="414">
        <f>(E4/G4)-1</f>
        <v>-0.30666666666666664</v>
      </c>
      <c r="G4" s="890">
        <v>0.23076923076923078</v>
      </c>
      <c r="H4" s="333">
        <f>'Teamprofile (8)'!D4</f>
        <v>0.2</v>
      </c>
      <c r="I4" s="509">
        <f>(H4/J4)-1</f>
        <v>5.0000000000000044E-2</v>
      </c>
      <c r="J4" s="885">
        <v>0.19047619047619047</v>
      </c>
      <c r="K4" s="333">
        <f>'Teamprofile (8)'!E4</f>
        <v>0.12</v>
      </c>
      <c r="L4" s="509"/>
      <c r="M4" s="885">
        <v>0</v>
      </c>
      <c r="N4" s="348">
        <f>N3/N2</f>
        <v>0.12</v>
      </c>
      <c r="O4" s="679">
        <f>O3/O2</f>
        <v>0.24</v>
      </c>
      <c r="P4" s="199">
        <f>P3/P2</f>
        <v>0.12</v>
      </c>
      <c r="Q4" s="398">
        <f>Q3/Q2</f>
        <v>0.24</v>
      </c>
      <c r="R4" s="171">
        <f t="shared" ref="R4:AA4" si="0">R3/R2</f>
        <v>0.16</v>
      </c>
      <c r="S4" s="171">
        <f t="shared" si="0"/>
        <v>0</v>
      </c>
      <c r="T4" s="388">
        <f t="shared" ref="T4:U4" si="1">T3/T2</f>
        <v>0.29411764705882354</v>
      </c>
      <c r="U4" s="172">
        <f t="shared" si="1"/>
        <v>0.13636363636363635</v>
      </c>
      <c r="V4" s="168">
        <f t="shared" si="0"/>
        <v>0.16666666666666666</v>
      </c>
      <c r="W4" s="172">
        <f t="shared" si="0"/>
        <v>0</v>
      </c>
      <c r="X4" s="179">
        <f t="shared" si="0"/>
        <v>0.1111111111111111</v>
      </c>
      <c r="Y4" s="179">
        <f t="shared" si="0"/>
        <v>0.14814814814814814</v>
      </c>
      <c r="Z4" s="180">
        <f t="shared" si="0"/>
        <v>0.22222222222222221</v>
      </c>
      <c r="AA4" s="181">
        <f t="shared" si="0"/>
        <v>0.1111111111111111</v>
      </c>
      <c r="AB4" s="356">
        <f t="shared" ref="AB4:AF4" si="2">AB3/AB2</f>
        <v>0.23529411764705882</v>
      </c>
      <c r="AC4" s="356">
        <f t="shared" si="2"/>
        <v>0.16666666666666666</v>
      </c>
      <c r="AD4" s="683">
        <f t="shared" si="2"/>
        <v>0.27272727272727271</v>
      </c>
      <c r="AE4" s="356">
        <f t="shared" si="2"/>
        <v>5.8823529411764705E-2</v>
      </c>
      <c r="AF4" s="356">
        <f t="shared" si="2"/>
        <v>5.8823529411764705E-2</v>
      </c>
      <c r="AG4" s="357">
        <f t="shared" ref="AG4:AO4" si="3">AG3/AG2</f>
        <v>0.13333333333333333</v>
      </c>
      <c r="AH4" s="357">
        <f t="shared" si="3"/>
        <v>0</v>
      </c>
      <c r="AI4" s="357">
        <f t="shared" ref="AI4" si="4">AI3/AI2</f>
        <v>0</v>
      </c>
      <c r="AJ4" s="357">
        <f t="shared" si="3"/>
        <v>0.1875</v>
      </c>
      <c r="AK4" s="597">
        <f t="shared" si="3"/>
        <v>0.33333333333333331</v>
      </c>
      <c r="AL4" s="358">
        <f t="shared" si="3"/>
        <v>5.8823529411764705E-2</v>
      </c>
      <c r="AM4" s="358">
        <f t="shared" si="3"/>
        <v>5.8823529411764705E-2</v>
      </c>
      <c r="AN4" s="747">
        <f t="shared" si="3"/>
        <v>0.23529411764705882</v>
      </c>
      <c r="AO4" s="358">
        <f t="shared" si="3"/>
        <v>0.17647058823529413</v>
      </c>
      <c r="AP4" s="360">
        <f t="shared" ref="AP4:AS4" si="5">AP3/AP2</f>
        <v>5.8823529411764705E-2</v>
      </c>
      <c r="AQ4" s="395">
        <f t="shared" si="5"/>
        <v>0.17647058823529413</v>
      </c>
      <c r="AR4" s="360">
        <f t="shared" si="5"/>
        <v>0.11764705882352941</v>
      </c>
      <c r="AS4" s="360">
        <f t="shared" si="5"/>
        <v>0.11764705882352941</v>
      </c>
      <c r="AT4" s="359">
        <f t="shared" ref="AT4:BF4" si="6">AT3/AT2</f>
        <v>0.16666666666666666</v>
      </c>
      <c r="AU4" s="359">
        <f t="shared" si="6"/>
        <v>0</v>
      </c>
      <c r="AV4" s="739">
        <f t="shared" si="6"/>
        <v>0.25</v>
      </c>
      <c r="AW4" s="359">
        <f t="shared" si="6"/>
        <v>0.16666666666666666</v>
      </c>
      <c r="AX4" s="359">
        <f t="shared" si="6"/>
        <v>8.3333333333333329E-2</v>
      </c>
      <c r="AY4" s="738">
        <f t="shared" si="6"/>
        <v>0.2</v>
      </c>
      <c r="AZ4" s="734">
        <f t="shared" si="6"/>
        <v>6.6666666666666666E-2</v>
      </c>
      <c r="BA4" s="734">
        <f t="shared" si="6"/>
        <v>0</v>
      </c>
      <c r="BB4" s="738">
        <f t="shared" si="6"/>
        <v>0.2</v>
      </c>
      <c r="BC4" s="736">
        <f t="shared" si="6"/>
        <v>0</v>
      </c>
      <c r="BD4" s="745">
        <f t="shared" si="6"/>
        <v>0.21428571428571427</v>
      </c>
      <c r="BE4" s="736">
        <f t="shared" si="6"/>
        <v>7.1428571428571425E-2</v>
      </c>
      <c r="BF4" s="736">
        <f t="shared" si="6"/>
        <v>0</v>
      </c>
      <c r="BG4" s="748">
        <f>BG3/BG2</f>
        <v>6.25E-2</v>
      </c>
      <c r="BH4" s="578">
        <f>BH3/BH2</f>
        <v>0</v>
      </c>
      <c r="BI4" s="752">
        <f>BI3/BI2</f>
        <v>6.25E-2</v>
      </c>
      <c r="BJ4" s="847">
        <f>BJ3/BJ2</f>
        <v>6.25E-2</v>
      </c>
      <c r="BK4" s="748">
        <f t="shared" ref="BK4:BP4" si="7">BK3/BK2</f>
        <v>0.1</v>
      </c>
      <c r="BL4" s="578">
        <f t="shared" si="7"/>
        <v>0</v>
      </c>
      <c r="BM4" s="505">
        <f t="shared" si="7"/>
        <v>0</v>
      </c>
      <c r="BN4" s="579">
        <f t="shared" si="7"/>
        <v>0</v>
      </c>
      <c r="BO4" s="505">
        <f t="shared" si="7"/>
        <v>0</v>
      </c>
      <c r="BP4" s="579">
        <f t="shared" si="7"/>
        <v>0</v>
      </c>
      <c r="BQ4" s="31"/>
      <c r="BR4" s="361"/>
      <c r="BS4" s="361"/>
      <c r="BT4" s="31"/>
      <c r="BU4" s="104"/>
      <c r="BV4" s="104"/>
      <c r="BW4" s="9"/>
      <c r="BX4" s="105"/>
      <c r="BY4" s="348"/>
      <c r="BZ4" s="348"/>
      <c r="CA4" s="199"/>
      <c r="CB4" s="200"/>
      <c r="CC4" s="171"/>
      <c r="CD4" s="171"/>
      <c r="CE4" s="168"/>
      <c r="CF4" s="172"/>
      <c r="CG4" s="168"/>
      <c r="CH4" s="172"/>
      <c r="CI4" s="179"/>
      <c r="CJ4" s="179"/>
      <c r="CK4" s="180"/>
      <c r="CL4" s="181"/>
      <c r="CM4" s="356"/>
      <c r="CN4" s="356"/>
      <c r="CO4" s="356"/>
      <c r="CP4" s="356"/>
      <c r="CQ4" s="356"/>
      <c r="CR4" s="357"/>
      <c r="CS4" s="357"/>
      <c r="CT4" s="357"/>
      <c r="CU4" s="357"/>
      <c r="CV4" s="357"/>
      <c r="CW4" s="358"/>
      <c r="CX4" s="358"/>
      <c r="CY4" s="358"/>
      <c r="CZ4" s="358"/>
      <c r="DA4" s="360"/>
      <c r="DB4" s="360"/>
      <c r="DC4" s="360"/>
      <c r="DD4" s="360"/>
      <c r="DE4" s="359"/>
      <c r="DF4" s="359"/>
      <c r="DG4" s="359"/>
      <c r="DH4" s="359"/>
      <c r="DI4" s="359"/>
      <c r="DJ4" s="734"/>
      <c r="DK4" s="734"/>
      <c r="DL4" s="734"/>
      <c r="DM4" s="734"/>
      <c r="DN4" s="736"/>
      <c r="DO4" s="736"/>
      <c r="DP4" s="736"/>
      <c r="DQ4" s="736"/>
      <c r="DR4" s="578"/>
      <c r="DS4" s="578"/>
      <c r="DT4" s="505"/>
      <c r="DU4" s="824"/>
      <c r="DV4" s="578"/>
      <c r="DW4" s="578"/>
      <c r="DX4" s="505"/>
      <c r="DY4" s="579"/>
      <c r="DZ4" s="505"/>
      <c r="EA4" s="579"/>
      <c r="EB4" s="8"/>
    </row>
    <row r="5" spans="1:132">
      <c r="A5" s="1" t="s">
        <v>45</v>
      </c>
      <c r="B5" s="16">
        <f>'Teamprofile (8)'!B5</f>
        <v>7</v>
      </c>
      <c r="C5" s="16"/>
      <c r="D5" s="903">
        <v>8</v>
      </c>
      <c r="E5" s="16">
        <f>'Teamprofile (8)'!C5</f>
        <v>7</v>
      </c>
      <c r="F5" s="16"/>
      <c r="G5" s="884">
        <v>6</v>
      </c>
      <c r="H5" s="17">
        <f>'Teamprofile (8)'!D5</f>
        <v>8</v>
      </c>
      <c r="I5" s="17"/>
      <c r="J5" s="886">
        <v>6</v>
      </c>
      <c r="K5" s="17">
        <f>'Teamprofile (8)'!E5</f>
        <v>7</v>
      </c>
      <c r="L5" s="17"/>
      <c r="M5" s="906" t="s">
        <v>13</v>
      </c>
      <c r="N5" s="206">
        <v>8</v>
      </c>
      <c r="O5" s="206">
        <v>6</v>
      </c>
      <c r="P5" s="204">
        <v>6</v>
      </c>
      <c r="Q5" s="204">
        <v>6</v>
      </c>
      <c r="R5" s="155">
        <v>9</v>
      </c>
      <c r="S5" s="161" t="s">
        <v>13</v>
      </c>
      <c r="T5" s="155">
        <v>7</v>
      </c>
      <c r="U5" s="155">
        <v>8</v>
      </c>
      <c r="V5" s="155">
        <v>6</v>
      </c>
      <c r="W5" s="161" t="s">
        <v>13</v>
      </c>
      <c r="X5" s="175">
        <v>9</v>
      </c>
      <c r="Y5" s="175">
        <v>6</v>
      </c>
      <c r="Z5" s="185">
        <v>7</v>
      </c>
      <c r="AA5" s="185">
        <v>8</v>
      </c>
      <c r="AB5" s="283">
        <v>9</v>
      </c>
      <c r="AC5" s="283">
        <v>10</v>
      </c>
      <c r="AD5" s="283">
        <v>6</v>
      </c>
      <c r="AE5" s="685">
        <v>7</v>
      </c>
      <c r="AF5" s="283">
        <v>12</v>
      </c>
      <c r="AG5" s="272">
        <v>8</v>
      </c>
      <c r="AH5" s="712" t="s">
        <v>13</v>
      </c>
      <c r="AI5" s="712" t="s">
        <v>13</v>
      </c>
      <c r="AJ5" s="272">
        <v>9</v>
      </c>
      <c r="AK5" s="272">
        <v>7</v>
      </c>
      <c r="AL5" s="298">
        <v>21</v>
      </c>
      <c r="AM5" s="298">
        <v>14</v>
      </c>
      <c r="AN5" s="298">
        <v>8</v>
      </c>
      <c r="AO5" s="298">
        <v>8</v>
      </c>
      <c r="AP5" s="308">
        <v>9</v>
      </c>
      <c r="AQ5" s="308">
        <v>6</v>
      </c>
      <c r="AR5" s="308">
        <v>7</v>
      </c>
      <c r="AS5" s="308">
        <v>8</v>
      </c>
      <c r="AT5" s="318">
        <v>12</v>
      </c>
      <c r="AU5" s="714" t="s">
        <v>13</v>
      </c>
      <c r="AV5" s="318">
        <v>6</v>
      </c>
      <c r="AW5" s="318">
        <v>6</v>
      </c>
      <c r="AX5" s="707">
        <v>9</v>
      </c>
      <c r="AY5" s="770">
        <v>6</v>
      </c>
      <c r="AZ5" s="770">
        <v>7</v>
      </c>
      <c r="BA5" s="812" t="s">
        <v>13</v>
      </c>
      <c r="BB5" s="770">
        <v>10</v>
      </c>
      <c r="BC5" s="814" t="s">
        <v>13</v>
      </c>
      <c r="BD5" s="784">
        <v>10</v>
      </c>
      <c r="BE5" s="784">
        <v>11</v>
      </c>
      <c r="BF5" s="814" t="s">
        <v>13</v>
      </c>
      <c r="BG5" s="818">
        <v>9</v>
      </c>
      <c r="BH5" s="819" t="s">
        <v>13</v>
      </c>
      <c r="BI5" s="17">
        <v>11</v>
      </c>
      <c r="BJ5" s="825">
        <v>12</v>
      </c>
      <c r="BK5" s="17">
        <v>9</v>
      </c>
      <c r="BL5" s="819" t="s">
        <v>13</v>
      </c>
      <c r="BM5" s="819" t="s">
        <v>13</v>
      </c>
      <c r="BN5" s="819" t="s">
        <v>13</v>
      </c>
      <c r="BO5" s="819" t="s">
        <v>13</v>
      </c>
      <c r="BP5" s="819" t="s">
        <v>13</v>
      </c>
      <c r="BQ5" s="3"/>
      <c r="BT5" s="3"/>
      <c r="BY5" s="194"/>
      <c r="BZ5" s="194"/>
      <c r="CA5" s="194"/>
      <c r="CB5" s="194"/>
      <c r="CC5" s="170"/>
      <c r="CD5" s="170"/>
      <c r="CE5" s="170"/>
      <c r="CF5" s="170"/>
      <c r="CG5" s="170"/>
      <c r="CH5" s="170"/>
      <c r="CI5" s="174"/>
      <c r="CJ5" s="174"/>
      <c r="CK5" s="174"/>
      <c r="CL5" s="174"/>
      <c r="CM5" s="283"/>
      <c r="CN5" s="283"/>
      <c r="CO5" s="283"/>
      <c r="CP5" s="283"/>
      <c r="CQ5" s="283"/>
      <c r="CR5" s="272"/>
      <c r="CS5" s="272"/>
      <c r="CT5" s="272"/>
      <c r="CU5" s="272"/>
      <c r="CV5" s="272"/>
      <c r="CW5" s="298"/>
      <c r="CX5" s="298"/>
      <c r="CY5" s="298"/>
      <c r="CZ5" s="298"/>
      <c r="DA5" s="308"/>
      <c r="DB5" s="308"/>
      <c r="DC5" s="308"/>
      <c r="DD5" s="308"/>
      <c r="DE5" s="318"/>
      <c r="DF5" s="318"/>
      <c r="DG5" s="318"/>
      <c r="DH5" s="318"/>
      <c r="DI5" s="318"/>
      <c r="DJ5" s="778"/>
      <c r="DK5" s="778"/>
      <c r="DL5" s="778"/>
      <c r="DM5" s="778"/>
      <c r="DN5" s="792"/>
      <c r="DO5" s="792"/>
      <c r="DP5" s="792"/>
      <c r="DQ5" s="792"/>
      <c r="DU5" s="840"/>
      <c r="EB5" s="10"/>
    </row>
    <row r="6" spans="1:132">
      <c r="A6" s="1" t="s">
        <v>44</v>
      </c>
      <c r="B6" s="16">
        <f>'Teamprofile (8)'!B6</f>
        <v>10</v>
      </c>
      <c r="C6" s="16"/>
      <c r="D6" s="904">
        <v>12</v>
      </c>
      <c r="E6" s="16">
        <f>'Teamprofile (8)'!C6</f>
        <v>9</v>
      </c>
      <c r="F6" s="16"/>
      <c r="G6" s="884">
        <v>14</v>
      </c>
      <c r="H6" s="17">
        <f>'Teamprofile (8)'!D6</f>
        <v>17</v>
      </c>
      <c r="I6" s="17"/>
      <c r="J6" s="886">
        <v>9</v>
      </c>
      <c r="K6" s="17">
        <f>'Teamprofile (8)'!E6</f>
        <v>10</v>
      </c>
      <c r="L6" s="17"/>
      <c r="M6" s="906" t="s">
        <v>13</v>
      </c>
      <c r="N6" s="206">
        <v>9</v>
      </c>
      <c r="O6" s="206">
        <v>8</v>
      </c>
      <c r="P6" s="204">
        <v>9</v>
      </c>
      <c r="Q6" s="204">
        <v>11</v>
      </c>
      <c r="R6" s="155">
        <v>13</v>
      </c>
      <c r="S6" s="161" t="s">
        <v>13</v>
      </c>
      <c r="T6" s="155">
        <v>11</v>
      </c>
      <c r="U6" s="155">
        <v>8</v>
      </c>
      <c r="V6" s="155">
        <v>6</v>
      </c>
      <c r="W6" s="161" t="s">
        <v>13</v>
      </c>
      <c r="X6" s="175">
        <v>9</v>
      </c>
      <c r="Y6" s="175">
        <v>10</v>
      </c>
      <c r="Z6" s="185">
        <v>11</v>
      </c>
      <c r="AA6" s="185">
        <v>9</v>
      </c>
      <c r="AB6" s="283">
        <v>9</v>
      </c>
      <c r="AC6" s="283">
        <v>10</v>
      </c>
      <c r="AD6" s="283">
        <v>14</v>
      </c>
      <c r="AE6" s="685">
        <v>7</v>
      </c>
      <c r="AF6" s="283">
        <v>12</v>
      </c>
      <c r="AG6" s="272">
        <v>9</v>
      </c>
      <c r="AH6" s="712" t="s">
        <v>13</v>
      </c>
      <c r="AI6" s="712" t="s">
        <v>13</v>
      </c>
      <c r="AJ6" s="272">
        <v>20</v>
      </c>
      <c r="AK6" s="272">
        <v>12</v>
      </c>
      <c r="AL6" s="298">
        <v>21</v>
      </c>
      <c r="AM6" s="298">
        <v>14</v>
      </c>
      <c r="AN6" s="298">
        <v>10</v>
      </c>
      <c r="AO6" s="298">
        <v>9</v>
      </c>
      <c r="AP6" s="308">
        <v>9</v>
      </c>
      <c r="AQ6" s="308">
        <v>14</v>
      </c>
      <c r="AR6" s="308">
        <v>11</v>
      </c>
      <c r="AS6" s="308">
        <v>12</v>
      </c>
      <c r="AT6" s="318">
        <v>13</v>
      </c>
      <c r="AU6" s="714" t="s">
        <v>13</v>
      </c>
      <c r="AV6" s="318">
        <v>10</v>
      </c>
      <c r="AW6" s="318">
        <v>7</v>
      </c>
      <c r="AX6" s="707">
        <v>9</v>
      </c>
      <c r="AY6" s="770">
        <v>11</v>
      </c>
      <c r="AZ6" s="770">
        <v>7</v>
      </c>
      <c r="BA6" s="812" t="s">
        <v>13</v>
      </c>
      <c r="BB6" s="770">
        <v>16</v>
      </c>
      <c r="BC6" s="814" t="s">
        <v>13</v>
      </c>
      <c r="BD6" s="784">
        <v>10</v>
      </c>
      <c r="BE6" s="784">
        <v>11</v>
      </c>
      <c r="BF6" s="814" t="s">
        <v>13</v>
      </c>
      <c r="BG6" s="818">
        <v>9</v>
      </c>
      <c r="BH6" s="819" t="s">
        <v>13</v>
      </c>
      <c r="BI6" s="17">
        <v>11</v>
      </c>
      <c r="BJ6" s="825">
        <v>12</v>
      </c>
      <c r="BK6" s="17">
        <v>9</v>
      </c>
      <c r="BL6" s="819" t="s">
        <v>13</v>
      </c>
      <c r="BM6" s="819" t="s">
        <v>13</v>
      </c>
      <c r="BN6" s="819" t="s">
        <v>13</v>
      </c>
      <c r="BO6" s="819" t="s">
        <v>13</v>
      </c>
      <c r="BP6" s="819" t="s">
        <v>13</v>
      </c>
      <c r="BQ6" s="3"/>
      <c r="BT6" s="3"/>
      <c r="BY6" s="194"/>
      <c r="BZ6" s="194"/>
      <c r="CA6" s="194"/>
      <c r="CB6" s="194"/>
      <c r="CC6" s="170"/>
      <c r="CD6" s="170"/>
      <c r="CE6" s="170"/>
      <c r="CF6" s="170"/>
      <c r="CG6" s="170"/>
      <c r="CH6" s="170"/>
      <c r="CI6" s="174"/>
      <c r="CJ6" s="174"/>
      <c r="CK6" s="174"/>
      <c r="CL6" s="174"/>
      <c r="CM6" s="283"/>
      <c r="CN6" s="283"/>
      <c r="CO6" s="283"/>
      <c r="CP6" s="283"/>
      <c r="CQ6" s="283"/>
      <c r="CR6" s="272"/>
      <c r="CS6" s="272"/>
      <c r="CT6" s="272"/>
      <c r="CU6" s="272"/>
      <c r="CV6" s="272"/>
      <c r="CW6" s="298"/>
      <c r="CX6" s="298"/>
      <c r="CY6" s="298"/>
      <c r="CZ6" s="298"/>
      <c r="DA6" s="308"/>
      <c r="DB6" s="308"/>
      <c r="DC6" s="308"/>
      <c r="DD6" s="308"/>
      <c r="DE6" s="318"/>
      <c r="DF6" s="318"/>
      <c r="DG6" s="318"/>
      <c r="DH6" s="318"/>
      <c r="DI6" s="318"/>
      <c r="DJ6" s="778"/>
      <c r="DK6" s="778"/>
      <c r="DL6" s="778"/>
      <c r="DM6" s="778"/>
      <c r="DN6" s="792"/>
      <c r="DO6" s="792"/>
      <c r="DP6" s="792"/>
      <c r="DQ6" s="792"/>
      <c r="DU6" s="840"/>
      <c r="EB6" s="10"/>
    </row>
    <row r="7" spans="1:132" s="6" customFormat="1" ht="15.75">
      <c r="A7" s="28" t="s">
        <v>43</v>
      </c>
      <c r="B7" s="878">
        <f>'Teamprofile (8)'!B7</f>
        <v>8.5</v>
      </c>
      <c r="C7" s="414">
        <f>(B7/D7)-1</f>
        <v>-0.18269230769230771</v>
      </c>
      <c r="D7" s="900">
        <v>10.4</v>
      </c>
      <c r="E7" s="878">
        <f>'Teamprofile (8)'!C7</f>
        <v>8.25</v>
      </c>
      <c r="F7" s="414">
        <f>(E7/G7)-1</f>
        <v>-0.17500000000000004</v>
      </c>
      <c r="G7" s="900">
        <v>10</v>
      </c>
      <c r="H7" s="878">
        <f>'Teamprofile (8)'!D7</f>
        <v>12</v>
      </c>
      <c r="I7" s="414">
        <f>(H7/J7)-1</f>
        <v>0.54838709677419351</v>
      </c>
      <c r="J7" s="900">
        <v>7.75</v>
      </c>
      <c r="K7" s="878">
        <f>'Teamprofile (8)'!E7</f>
        <v>8</v>
      </c>
      <c r="L7" s="414"/>
      <c r="M7" s="911" t="s">
        <v>13</v>
      </c>
      <c r="N7" s="340">
        <f>(9+8+9)/N3</f>
        <v>8.6666666666666661</v>
      </c>
      <c r="O7" s="340">
        <f>(6+6+7+8+8+7)/O3</f>
        <v>7</v>
      </c>
      <c r="P7" s="340">
        <f>(9+9+6)/P3</f>
        <v>8</v>
      </c>
      <c r="Q7" s="340">
        <f>(6+7+7+8+8+11)/Q3</f>
        <v>7.833333333333333</v>
      </c>
      <c r="R7" s="365">
        <f>(13+9+13+9)/R3</f>
        <v>11</v>
      </c>
      <c r="S7" s="364" t="s">
        <v>13</v>
      </c>
      <c r="T7" s="365">
        <f>(7+7+7+7+11)/T3</f>
        <v>7.8</v>
      </c>
      <c r="U7" s="365">
        <f>(8+8+8)/U3</f>
        <v>8</v>
      </c>
      <c r="V7" s="365">
        <f>(6+6)/V3</f>
        <v>6</v>
      </c>
      <c r="W7" s="364" t="s">
        <v>13</v>
      </c>
      <c r="X7" s="366">
        <f>(9+9+9)/X3</f>
        <v>9</v>
      </c>
      <c r="Y7" s="366">
        <f>(6+6+6+10)/Y3</f>
        <v>7</v>
      </c>
      <c r="Z7" s="366">
        <f>(7+7+7+11+7+9)/Z3</f>
        <v>8</v>
      </c>
      <c r="AA7" s="366">
        <f>(8+8+9)/AA3</f>
        <v>8.3333333333333339</v>
      </c>
      <c r="AB7" s="368">
        <f>(9+9+9+9)/AB3</f>
        <v>9</v>
      </c>
      <c r="AC7" s="368">
        <f>(10)/AC3</f>
        <v>10</v>
      </c>
      <c r="AD7" s="368">
        <f>(10+14+6)/AD3</f>
        <v>10</v>
      </c>
      <c r="AE7" s="368">
        <f>(7)/AE3</f>
        <v>7</v>
      </c>
      <c r="AF7" s="368">
        <f>(12)/AF3</f>
        <v>12</v>
      </c>
      <c r="AG7" s="369">
        <f>(8+9)/AG3</f>
        <v>8.5</v>
      </c>
      <c r="AH7" s="713" t="s">
        <v>13</v>
      </c>
      <c r="AI7" s="713" t="s">
        <v>13</v>
      </c>
      <c r="AJ7" s="369">
        <f>(9+20+10)/AJ3</f>
        <v>13</v>
      </c>
      <c r="AK7" s="369">
        <f>(7+9+12+8)/AK3</f>
        <v>9</v>
      </c>
      <c r="AL7" s="370">
        <f>(21)/AL3</f>
        <v>21</v>
      </c>
      <c r="AM7" s="370">
        <f>(14)/AM3</f>
        <v>14</v>
      </c>
      <c r="AN7" s="370">
        <f>(8+9+10+11)/AN3</f>
        <v>9.5</v>
      </c>
      <c r="AO7" s="370">
        <f>(8+9+9)/AO3</f>
        <v>8.6666666666666661</v>
      </c>
      <c r="AP7" s="372">
        <f t="shared" ref="AP7" si="8">(9)/AP3</f>
        <v>9</v>
      </c>
      <c r="AQ7" s="372">
        <f>(6+10+14)/AQ3</f>
        <v>10</v>
      </c>
      <c r="AR7" s="372">
        <f>(11+7)/AR3</f>
        <v>9</v>
      </c>
      <c r="AS7" s="372">
        <f>(12+8)/AS3</f>
        <v>10</v>
      </c>
      <c r="AT7" s="371">
        <f>(12+13)/AT3</f>
        <v>12.5</v>
      </c>
      <c r="AU7" s="715" t="s">
        <v>13</v>
      </c>
      <c r="AV7" s="371">
        <f>(6+10)/AV3</f>
        <v>8</v>
      </c>
      <c r="AW7" s="371">
        <f>(6+7)/AW3</f>
        <v>6.5</v>
      </c>
      <c r="AX7" s="371">
        <f>(9)/AX3</f>
        <v>9</v>
      </c>
      <c r="AY7" s="796">
        <f>(6+7+11)/AY3</f>
        <v>8</v>
      </c>
      <c r="AZ7" s="796">
        <f>(7)/AZ3</f>
        <v>7</v>
      </c>
      <c r="BA7" s="813" t="s">
        <v>13</v>
      </c>
      <c r="BB7" s="796">
        <f>(12+16+10)/BB3</f>
        <v>12.666666666666666</v>
      </c>
      <c r="BC7" s="815" t="s">
        <v>13</v>
      </c>
      <c r="BD7" s="801">
        <f>(10+10+10)/BD3</f>
        <v>10</v>
      </c>
      <c r="BE7" s="801">
        <f>(11)/BE3</f>
        <v>11</v>
      </c>
      <c r="BF7" s="815" t="s">
        <v>13</v>
      </c>
      <c r="BG7" s="341">
        <f>(9)/BG3</f>
        <v>9</v>
      </c>
      <c r="BH7" s="820" t="s">
        <v>13</v>
      </c>
      <c r="BI7" s="341">
        <f>(11)/BI3</f>
        <v>11</v>
      </c>
      <c r="BJ7" s="826">
        <f>(12)/BJ3</f>
        <v>12</v>
      </c>
      <c r="BK7" s="808">
        <f>(9)/BK3</f>
        <v>9</v>
      </c>
      <c r="BL7" s="820" t="s">
        <v>13</v>
      </c>
      <c r="BM7" s="820" t="s">
        <v>13</v>
      </c>
      <c r="BN7" s="820" t="s">
        <v>13</v>
      </c>
      <c r="BO7" s="820" t="s">
        <v>13</v>
      </c>
      <c r="BP7" s="820" t="s">
        <v>13</v>
      </c>
      <c r="BQ7" s="31"/>
      <c r="BR7" s="373"/>
      <c r="BS7" s="373"/>
      <c r="BT7" s="31"/>
      <c r="BU7" s="9"/>
      <c r="BV7" s="104"/>
      <c r="BW7" s="105"/>
      <c r="BX7" s="105"/>
      <c r="BY7" s="199"/>
      <c r="BZ7" s="348"/>
      <c r="CA7" s="200"/>
      <c r="CB7" s="200"/>
      <c r="CC7" s="168"/>
      <c r="CD7" s="171"/>
      <c r="CE7" s="172"/>
      <c r="CF7" s="172"/>
      <c r="CG7" s="172"/>
      <c r="CH7" s="172"/>
      <c r="CI7" s="180"/>
      <c r="CJ7" s="179"/>
      <c r="CK7" s="181"/>
      <c r="CL7" s="181"/>
      <c r="CM7" s="368"/>
      <c r="CN7" s="368"/>
      <c r="CO7" s="368"/>
      <c r="CP7" s="368"/>
      <c r="CQ7" s="368"/>
      <c r="CR7" s="369"/>
      <c r="CS7" s="369"/>
      <c r="CT7" s="369"/>
      <c r="CU7" s="369"/>
      <c r="CV7" s="369"/>
      <c r="CW7" s="370"/>
      <c r="CX7" s="370"/>
      <c r="CY7" s="370"/>
      <c r="CZ7" s="370"/>
      <c r="DA7" s="372"/>
      <c r="DB7" s="372"/>
      <c r="DC7" s="372"/>
      <c r="DD7" s="372"/>
      <c r="DE7" s="371"/>
      <c r="DF7" s="371"/>
      <c r="DG7" s="371"/>
      <c r="DH7" s="371"/>
      <c r="DI7" s="371"/>
      <c r="DJ7" s="796"/>
      <c r="DK7" s="796"/>
      <c r="DL7" s="796"/>
      <c r="DM7" s="796"/>
      <c r="DN7" s="801"/>
      <c r="DO7" s="801"/>
      <c r="DP7" s="801"/>
      <c r="DQ7" s="801"/>
      <c r="DR7" s="505"/>
      <c r="DS7" s="578"/>
      <c r="DT7" s="579"/>
      <c r="DU7" s="824"/>
      <c r="DV7" s="505"/>
      <c r="DW7" s="578"/>
      <c r="DX7" s="579"/>
      <c r="DY7" s="579"/>
      <c r="DZ7" s="579"/>
      <c r="EA7" s="579"/>
      <c r="EB7" s="8"/>
    </row>
    <row r="8" spans="1:132" s="2" customFormat="1" ht="6" customHeight="1">
      <c r="B8" s="10"/>
      <c r="C8" s="10"/>
      <c r="D8" s="887"/>
      <c r="E8" s="10"/>
      <c r="F8" s="10"/>
      <c r="G8" s="887"/>
      <c r="H8" s="10"/>
      <c r="I8" s="10"/>
      <c r="J8" s="887"/>
      <c r="K8" s="10"/>
      <c r="L8" s="10"/>
      <c r="M8" s="887"/>
      <c r="N8" s="10"/>
      <c r="O8" s="10"/>
      <c r="P8" s="10"/>
      <c r="Q8" s="10"/>
      <c r="R8" s="10"/>
      <c r="S8" s="10"/>
      <c r="T8" s="506"/>
      <c r="U8" s="506"/>
      <c r="V8" s="10"/>
      <c r="W8" s="10"/>
      <c r="X8" s="10"/>
      <c r="Y8" s="10"/>
      <c r="Z8" s="10"/>
      <c r="AA8" s="10"/>
      <c r="AB8" s="10"/>
      <c r="AC8" s="506"/>
      <c r="AD8" s="506"/>
      <c r="AE8" s="506"/>
      <c r="AF8" s="506"/>
      <c r="AG8" s="506"/>
      <c r="AH8" s="506"/>
      <c r="AI8" s="506"/>
      <c r="AJ8" s="506"/>
      <c r="AK8" s="10"/>
      <c r="AL8" s="506"/>
      <c r="AM8" s="506"/>
      <c r="AN8" s="10"/>
      <c r="AO8" s="10"/>
      <c r="AP8" s="10"/>
      <c r="AQ8" s="10"/>
      <c r="AR8" s="506"/>
      <c r="AS8" s="506"/>
      <c r="AT8" s="10"/>
      <c r="AU8" s="506"/>
      <c r="AV8" s="506"/>
      <c r="AW8" s="506"/>
      <c r="AX8" s="10"/>
      <c r="AY8" s="506"/>
      <c r="AZ8" s="506"/>
      <c r="BA8" s="506"/>
      <c r="BB8" s="506"/>
      <c r="BC8" s="506"/>
      <c r="BD8" s="506"/>
      <c r="BE8" s="506"/>
      <c r="BF8" s="506"/>
      <c r="BG8" s="506"/>
      <c r="BH8" s="506"/>
      <c r="BI8" s="506"/>
      <c r="BJ8" s="827"/>
      <c r="BK8" s="506"/>
      <c r="BL8" s="506"/>
      <c r="BM8" s="506"/>
      <c r="BN8" s="506"/>
      <c r="BO8" s="506"/>
      <c r="BP8" s="506"/>
      <c r="BR8" s="219"/>
      <c r="BS8" s="219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506"/>
      <c r="CF8" s="506"/>
      <c r="CG8" s="10"/>
      <c r="CH8" s="10"/>
      <c r="CI8" s="10"/>
      <c r="CJ8" s="10"/>
      <c r="CK8" s="10"/>
      <c r="CL8" s="10"/>
      <c r="CM8" s="506"/>
      <c r="CN8" s="506"/>
      <c r="CO8" s="506"/>
      <c r="CP8" s="506"/>
      <c r="CQ8" s="10"/>
      <c r="CR8" s="506"/>
      <c r="CS8" s="506"/>
      <c r="CT8" s="506"/>
      <c r="CU8" s="506"/>
      <c r="CV8" s="10"/>
      <c r="CW8" s="506"/>
      <c r="CX8" s="506"/>
      <c r="CY8" s="10"/>
      <c r="CZ8" s="10"/>
      <c r="DA8" s="506"/>
      <c r="DB8" s="506"/>
      <c r="DC8" s="10"/>
      <c r="DD8" s="10"/>
      <c r="DE8" s="506"/>
      <c r="DF8" s="506"/>
      <c r="DG8" s="506"/>
      <c r="DH8" s="10"/>
      <c r="DI8" s="10"/>
      <c r="DJ8" s="506"/>
      <c r="DK8" s="506"/>
      <c r="DL8" s="506"/>
      <c r="DM8" s="506"/>
      <c r="DN8" s="506"/>
      <c r="DO8" s="506"/>
      <c r="DP8" s="506"/>
      <c r="DQ8" s="506"/>
      <c r="DR8" s="506"/>
      <c r="DS8" s="506"/>
      <c r="DT8" s="506"/>
      <c r="DU8" s="827"/>
      <c r="DV8" s="506"/>
      <c r="DW8" s="506"/>
      <c r="DX8" s="506"/>
      <c r="DY8" s="506"/>
      <c r="DZ8" s="506"/>
      <c r="EA8" s="506"/>
      <c r="EB8" s="10"/>
    </row>
    <row r="9" spans="1:132">
      <c r="A9" s="1" t="s">
        <v>42</v>
      </c>
      <c r="B9" s="22">
        <f>'Teamprofile (8)'!B9</f>
        <v>344</v>
      </c>
      <c r="C9" s="22"/>
      <c r="D9" s="909">
        <v>297</v>
      </c>
      <c r="E9" s="22">
        <f>'Teamprofile (8)'!C9</f>
        <v>241</v>
      </c>
      <c r="F9" s="22"/>
      <c r="G9" s="909">
        <v>150</v>
      </c>
      <c r="H9" s="21">
        <f>'Teamprofile (8)'!D9</f>
        <v>299</v>
      </c>
      <c r="I9" s="21"/>
      <c r="J9" s="910">
        <v>299</v>
      </c>
      <c r="K9" s="23">
        <f>'Teamprofile (8)'!E9</f>
        <v>186</v>
      </c>
      <c r="L9" s="23"/>
      <c r="M9" s="910">
        <v>86</v>
      </c>
      <c r="N9" s="208">
        <f>Auswertung!AC60</f>
        <v>319</v>
      </c>
      <c r="O9" s="208">
        <f>Auswertung!AC68</f>
        <v>308</v>
      </c>
      <c r="P9" s="209">
        <f>Auswertung!AC76</f>
        <v>294</v>
      </c>
      <c r="Q9" s="210">
        <f>Auswertung!AC84</f>
        <v>279</v>
      </c>
      <c r="R9" s="164">
        <f>Auswertung!AC100</f>
        <v>395</v>
      </c>
      <c r="S9" s="164">
        <f>Auswertung!AC108</f>
        <v>191</v>
      </c>
      <c r="T9" s="165">
        <f>Auswertung!AC116</f>
        <v>161</v>
      </c>
      <c r="U9" s="166">
        <f>Auswertung!AC124</f>
        <v>185</v>
      </c>
      <c r="V9" s="165">
        <f>Auswertung!AC132</f>
        <v>121</v>
      </c>
      <c r="W9" s="166">
        <f>Auswertung!AC140</f>
        <v>60</v>
      </c>
      <c r="X9" s="188">
        <f>Auswertung!AC156</f>
        <v>400</v>
      </c>
      <c r="Y9" s="188">
        <f>Auswertung!AC164</f>
        <v>322</v>
      </c>
      <c r="Z9" s="189">
        <f>Auswertung!AC172</f>
        <v>314</v>
      </c>
      <c r="AA9" s="190">
        <f>Auswertung!AC180</f>
        <v>162</v>
      </c>
      <c r="AB9" s="285">
        <f>Auswertung!AC196</f>
        <v>299</v>
      </c>
      <c r="AC9" s="285">
        <f>Auswertung!AC204</f>
        <v>51</v>
      </c>
      <c r="AD9" s="285">
        <f>Auswertung!AC212</f>
        <v>183</v>
      </c>
      <c r="AE9" s="285">
        <f>Auswertung!AC220</f>
        <v>112</v>
      </c>
      <c r="AF9" s="285">
        <f>Auswertung!AC228</f>
        <v>115</v>
      </c>
      <c r="AG9" s="274">
        <f>Auswertung!AC244</f>
        <v>120</v>
      </c>
      <c r="AH9" s="274">
        <f>Auswertung!AC252</f>
        <v>82</v>
      </c>
      <c r="AI9" s="274">
        <f>Auswertung!AC260</f>
        <v>187</v>
      </c>
      <c r="AJ9" s="274">
        <f>Auswertung!AC268</f>
        <v>233</v>
      </c>
      <c r="AK9" s="274">
        <f>Auswertung!AC276</f>
        <v>121</v>
      </c>
      <c r="AL9" s="300">
        <f>Auswertung!AC292</f>
        <v>221</v>
      </c>
      <c r="AM9" s="300">
        <f>Auswertung!AC300</f>
        <v>88</v>
      </c>
      <c r="AN9" s="300">
        <f>Auswertung!AC308</f>
        <v>172</v>
      </c>
      <c r="AO9" s="300">
        <f>Auswertung!AC316</f>
        <v>226</v>
      </c>
      <c r="AP9" s="310">
        <f>Auswertung!AC332</f>
        <v>275</v>
      </c>
      <c r="AQ9" s="310">
        <f>Auswertung!AC340</f>
        <v>137</v>
      </c>
      <c r="AR9" s="310">
        <f>Auswertung!AC348</f>
        <v>161</v>
      </c>
      <c r="AS9" s="310">
        <f>Auswertung!AC356</f>
        <v>163</v>
      </c>
      <c r="AT9" s="320">
        <f>Auswertung!AC372</f>
        <v>106</v>
      </c>
      <c r="AU9" s="320">
        <f>Auswertung!AC380</f>
        <v>100</v>
      </c>
      <c r="AV9" s="320">
        <f>Auswertung!AC388</f>
        <v>54</v>
      </c>
      <c r="AW9" s="320">
        <f>Auswertung!AC396</f>
        <v>124</v>
      </c>
      <c r="AX9" s="320">
        <f>Auswertung!AC404</f>
        <v>183</v>
      </c>
      <c r="AY9" s="773">
        <f>Auswertung!AC420</f>
        <v>150</v>
      </c>
      <c r="AZ9" s="773">
        <f>Auswertung!AC428</f>
        <v>132</v>
      </c>
      <c r="BA9" s="773">
        <f>Auswertung!AC436</f>
        <v>111</v>
      </c>
      <c r="BB9" s="773">
        <f>Auswertung!AC444</f>
        <v>238</v>
      </c>
      <c r="BC9" s="787">
        <f>Auswertung!AC460</f>
        <v>180</v>
      </c>
      <c r="BD9" s="787">
        <f>Auswertung!AC468</f>
        <v>163</v>
      </c>
      <c r="BE9" s="787">
        <f>Auswertung!AC476</f>
        <v>148</v>
      </c>
      <c r="BF9" s="787">
        <f>Auswertung!AC484</f>
        <v>87</v>
      </c>
      <c r="BG9" s="22">
        <f>Auswertung!AC500</f>
        <v>171</v>
      </c>
      <c r="BH9" s="22">
        <f>Auswertung!AC508</f>
        <v>148</v>
      </c>
      <c r="BI9" s="21">
        <f>Auswertung!AC516</f>
        <v>174</v>
      </c>
      <c r="BJ9" s="828">
        <f>Auswertung!AC524</f>
        <v>97</v>
      </c>
      <c r="BK9" s="22">
        <f>Auswertung!AC540</f>
        <v>100</v>
      </c>
      <c r="BL9" s="22">
        <f>Auswertung!AC548</f>
        <v>36</v>
      </c>
      <c r="BM9" s="21">
        <f>Auswertung!AC556</f>
        <v>53</v>
      </c>
      <c r="BN9" s="511">
        <f>Auswertung!AC564</f>
        <v>64</v>
      </c>
      <c r="BO9" s="21">
        <f>Auswertung!AC572</f>
        <v>68</v>
      </c>
      <c r="BP9" s="511">
        <f>Auswertung!AC580</f>
        <v>50</v>
      </c>
      <c r="BQ9" s="1"/>
      <c r="BT9" s="1"/>
      <c r="BY9" s="194"/>
      <c r="BZ9" s="194"/>
      <c r="CA9" s="194"/>
      <c r="CB9" s="194"/>
      <c r="CC9" s="170"/>
      <c r="CD9" s="170"/>
      <c r="CE9" s="170"/>
      <c r="CF9" s="170"/>
      <c r="CG9" s="170"/>
      <c r="CH9" s="170"/>
      <c r="CI9" s="174"/>
      <c r="CJ9" s="174"/>
      <c r="CK9" s="174"/>
      <c r="CL9" s="174"/>
      <c r="CM9" s="285"/>
      <c r="CN9" s="285"/>
      <c r="CO9" s="285"/>
      <c r="CP9" s="285"/>
      <c r="CQ9" s="285"/>
      <c r="CR9" s="274"/>
      <c r="CS9" s="274"/>
      <c r="CT9" s="274"/>
      <c r="CU9" s="274"/>
      <c r="CV9" s="274"/>
      <c r="CW9" s="300"/>
      <c r="CX9" s="300"/>
      <c r="CY9" s="300"/>
      <c r="CZ9" s="300"/>
      <c r="DA9" s="310"/>
      <c r="DB9" s="310"/>
      <c r="DC9" s="310"/>
      <c r="DD9" s="310"/>
      <c r="DE9" s="320"/>
      <c r="DF9" s="320"/>
      <c r="DG9" s="320"/>
      <c r="DH9" s="320"/>
      <c r="DI9" s="320"/>
      <c r="DJ9" s="773"/>
      <c r="DK9" s="773"/>
      <c r="DL9" s="773"/>
      <c r="DM9" s="773"/>
      <c r="DN9" s="787"/>
      <c r="DO9" s="787"/>
      <c r="DP9" s="787"/>
      <c r="DQ9" s="787"/>
      <c r="DU9" s="840"/>
      <c r="EB9" s="10"/>
    </row>
    <row r="10" spans="1:132" s="6" customFormat="1" ht="15.75">
      <c r="A10" s="24" t="s">
        <v>41</v>
      </c>
      <c r="B10" s="880">
        <f>'Teamprofile (8)'!B10</f>
        <v>13.76</v>
      </c>
      <c r="C10" s="414">
        <f>(B10/D10)-1</f>
        <v>-7.3400673400673355E-2</v>
      </c>
      <c r="D10" s="888">
        <v>14.85</v>
      </c>
      <c r="E10" s="878">
        <f>'Teamprofile (8)'!C10</f>
        <v>9.64</v>
      </c>
      <c r="F10" s="414">
        <f>(E10/G10)-1</f>
        <v>-0.16453333333333331</v>
      </c>
      <c r="G10" s="900">
        <v>11.538461538461538</v>
      </c>
      <c r="H10" s="362">
        <f>'Teamprofile (8)'!D10</f>
        <v>11.96</v>
      </c>
      <c r="I10" s="11">
        <f>(H10/J10)-1</f>
        <v>-0.15999999999999992</v>
      </c>
      <c r="J10" s="888">
        <v>14.238095238095237</v>
      </c>
      <c r="K10" s="878">
        <f>'Teamprofile (8)'!E10</f>
        <v>7.44</v>
      </c>
      <c r="L10" s="414">
        <f>(K10/M10)-1</f>
        <v>3.8139534883721016E-2</v>
      </c>
      <c r="M10" s="900">
        <v>7.166666666666667</v>
      </c>
      <c r="N10" s="680">
        <f>N9/N2</f>
        <v>12.76</v>
      </c>
      <c r="O10" s="375">
        <f>O9/O2</f>
        <v>12.32</v>
      </c>
      <c r="P10" s="363">
        <f>P9/P2</f>
        <v>11.76</v>
      </c>
      <c r="Q10" s="374">
        <f>Q9/Q2</f>
        <v>11.16</v>
      </c>
      <c r="R10" s="719">
        <f t="shared" ref="R10:AA10" si="9">R9/R2</f>
        <v>15.8</v>
      </c>
      <c r="S10" s="376">
        <f t="shared" si="9"/>
        <v>10.052631578947368</v>
      </c>
      <c r="T10" s="365">
        <f t="shared" ref="T10:U10" si="10">T9/T2</f>
        <v>9.4705882352941178</v>
      </c>
      <c r="U10" s="345">
        <f t="shared" si="10"/>
        <v>8.4090909090909083</v>
      </c>
      <c r="V10" s="365">
        <f t="shared" si="9"/>
        <v>10.083333333333334</v>
      </c>
      <c r="W10" s="345">
        <f t="shared" si="9"/>
        <v>12</v>
      </c>
      <c r="X10" s="346">
        <f t="shared" si="9"/>
        <v>14.814814814814815</v>
      </c>
      <c r="Y10" s="366">
        <f t="shared" si="9"/>
        <v>11.925925925925926</v>
      </c>
      <c r="Z10" s="367">
        <f t="shared" si="9"/>
        <v>11.62962962962963</v>
      </c>
      <c r="AA10" s="346">
        <f t="shared" si="9"/>
        <v>6</v>
      </c>
      <c r="AB10" s="682">
        <f t="shared" ref="AB10:AF10" si="11">AB9/AB2</f>
        <v>17.588235294117649</v>
      </c>
      <c r="AC10" s="377">
        <f t="shared" si="11"/>
        <v>8.5</v>
      </c>
      <c r="AD10" s="377">
        <f t="shared" si="11"/>
        <v>16.636363636363637</v>
      </c>
      <c r="AE10" s="377">
        <f t="shared" si="11"/>
        <v>6.5882352941176467</v>
      </c>
      <c r="AF10" s="377">
        <f t="shared" si="11"/>
        <v>6.7647058823529411</v>
      </c>
      <c r="AG10" s="378">
        <f t="shared" ref="AG10:AO10" si="12">AG9/AG2</f>
        <v>8</v>
      </c>
      <c r="AH10" s="378">
        <f t="shared" si="12"/>
        <v>6.3076923076923075</v>
      </c>
      <c r="AI10" s="378">
        <f t="shared" ref="AI10" si="13">AI9/AI2</f>
        <v>11.6875</v>
      </c>
      <c r="AJ10" s="384">
        <f t="shared" si="12"/>
        <v>14.5625</v>
      </c>
      <c r="AK10" s="378">
        <f t="shared" si="12"/>
        <v>10.083333333333334</v>
      </c>
      <c r="AL10" s="379">
        <f t="shared" si="12"/>
        <v>13</v>
      </c>
      <c r="AM10" s="379">
        <f t="shared" si="12"/>
        <v>5.1764705882352944</v>
      </c>
      <c r="AN10" s="379">
        <f t="shared" si="12"/>
        <v>10.117647058823529</v>
      </c>
      <c r="AO10" s="749">
        <f t="shared" si="12"/>
        <v>13.294117647058824</v>
      </c>
      <c r="AP10" s="385">
        <f t="shared" ref="AP10:AS10" si="14">AP9/AP2</f>
        <v>16.176470588235293</v>
      </c>
      <c r="AQ10" s="381">
        <f t="shared" si="14"/>
        <v>8.0588235294117645</v>
      </c>
      <c r="AR10" s="381">
        <f t="shared" si="14"/>
        <v>9.4705882352941178</v>
      </c>
      <c r="AS10" s="381">
        <f t="shared" si="14"/>
        <v>9.5882352941176467</v>
      </c>
      <c r="AT10" s="380">
        <f t="shared" ref="AT10:BF10" si="15">AT9/AT2</f>
        <v>8.8333333333333339</v>
      </c>
      <c r="AU10" s="380">
        <f t="shared" si="15"/>
        <v>8.3333333333333339</v>
      </c>
      <c r="AV10" s="380">
        <f t="shared" si="15"/>
        <v>6.75</v>
      </c>
      <c r="AW10" s="380">
        <f t="shared" si="15"/>
        <v>10.333333333333334</v>
      </c>
      <c r="AX10" s="740">
        <f t="shared" si="15"/>
        <v>15.25</v>
      </c>
      <c r="AY10" s="733">
        <f t="shared" si="15"/>
        <v>10</v>
      </c>
      <c r="AZ10" s="733">
        <f t="shared" si="15"/>
        <v>8.8000000000000007</v>
      </c>
      <c r="BA10" s="733">
        <f t="shared" si="15"/>
        <v>7.4</v>
      </c>
      <c r="BB10" s="737">
        <f t="shared" si="15"/>
        <v>15.866666666666667</v>
      </c>
      <c r="BC10" s="816">
        <f t="shared" si="15"/>
        <v>12.857142857142858</v>
      </c>
      <c r="BD10" s="735">
        <f t="shared" si="15"/>
        <v>11.642857142857142</v>
      </c>
      <c r="BE10" s="735">
        <f t="shared" si="15"/>
        <v>10.571428571428571</v>
      </c>
      <c r="BF10" s="735">
        <f t="shared" si="15"/>
        <v>6.2142857142857144</v>
      </c>
      <c r="BG10" s="336">
        <f>BG9/BG2</f>
        <v>10.6875</v>
      </c>
      <c r="BH10" s="335">
        <f>BH9/BH2</f>
        <v>9.25</v>
      </c>
      <c r="BI10" s="808">
        <f>BI9/BI2</f>
        <v>10.875</v>
      </c>
      <c r="BJ10" s="829">
        <f>BJ9/BJ2</f>
        <v>6.0625</v>
      </c>
      <c r="BK10" s="336">
        <f t="shared" ref="BK10:BP10" si="16">BK9/BK2</f>
        <v>10</v>
      </c>
      <c r="BL10" s="335">
        <f t="shared" si="16"/>
        <v>6</v>
      </c>
      <c r="BM10" s="337">
        <f t="shared" si="16"/>
        <v>4.416666666666667</v>
      </c>
      <c r="BN10" s="807">
        <f t="shared" si="16"/>
        <v>10.666666666666666</v>
      </c>
      <c r="BO10" s="337">
        <f t="shared" si="16"/>
        <v>8.5</v>
      </c>
      <c r="BP10" s="336">
        <f t="shared" si="16"/>
        <v>8.3333333333333339</v>
      </c>
      <c r="BQ10" s="31"/>
      <c r="BR10" s="382"/>
      <c r="BS10" s="382"/>
      <c r="BT10" s="31"/>
      <c r="BU10" s="104"/>
      <c r="BV10" s="9"/>
      <c r="BW10" s="105"/>
      <c r="BX10" s="104"/>
      <c r="BY10" s="348"/>
      <c r="BZ10" s="199"/>
      <c r="CA10" s="200"/>
      <c r="CB10" s="348"/>
      <c r="CC10" s="171"/>
      <c r="CD10" s="168"/>
      <c r="CE10" s="172"/>
      <c r="CF10" s="599"/>
      <c r="CG10" s="172"/>
      <c r="CH10" s="171"/>
      <c r="CI10" s="179"/>
      <c r="CJ10" s="180"/>
      <c r="CK10" s="181"/>
      <c r="CL10" s="179"/>
      <c r="CM10" s="377"/>
      <c r="CN10" s="377"/>
      <c r="CO10" s="377"/>
      <c r="CP10" s="377"/>
      <c r="CQ10" s="377"/>
      <c r="CR10" s="378"/>
      <c r="CS10" s="378"/>
      <c r="CT10" s="378"/>
      <c r="CU10" s="378"/>
      <c r="CV10" s="378"/>
      <c r="CW10" s="379"/>
      <c r="CX10" s="379"/>
      <c r="CY10" s="379"/>
      <c r="CZ10" s="379"/>
      <c r="DA10" s="381"/>
      <c r="DB10" s="381"/>
      <c r="DC10" s="381"/>
      <c r="DD10" s="381"/>
      <c r="DE10" s="380"/>
      <c r="DF10" s="380"/>
      <c r="DG10" s="380"/>
      <c r="DH10" s="380"/>
      <c r="DI10" s="380"/>
      <c r="DJ10" s="733"/>
      <c r="DK10" s="733"/>
      <c r="DL10" s="733"/>
      <c r="DM10" s="733"/>
      <c r="DN10" s="735"/>
      <c r="DO10" s="735"/>
      <c r="DP10" s="735"/>
      <c r="DQ10" s="735"/>
      <c r="DR10" s="578"/>
      <c r="DS10" s="505"/>
      <c r="DT10" s="579"/>
      <c r="DU10" s="834"/>
      <c r="DV10" s="578"/>
      <c r="DW10" s="505"/>
      <c r="DX10" s="579"/>
      <c r="DY10" s="578"/>
      <c r="DZ10" s="579"/>
      <c r="EA10" s="578"/>
      <c r="EB10" s="8"/>
    </row>
    <row r="11" spans="1:132" s="6" customFormat="1" ht="15.75">
      <c r="A11" s="24" t="s">
        <v>40</v>
      </c>
      <c r="B11" s="878">
        <f>'Teamprofile (8)'!B11</f>
        <v>5.931034482758621</v>
      </c>
      <c r="C11" s="414">
        <f>(B11/D11)-1</f>
        <v>0.35794728898177186</v>
      </c>
      <c r="D11" s="900">
        <v>4.367647058823529</v>
      </c>
      <c r="E11" s="878">
        <f>'Teamprofile (8)'!C11</f>
        <v>4.5471698113207548</v>
      </c>
      <c r="F11" s="414">
        <f>(E11/G11)-1</f>
        <v>-9.0566037735849036E-2</v>
      </c>
      <c r="G11" s="900">
        <v>5</v>
      </c>
      <c r="H11" s="362">
        <f>'Teamprofile (8)'!D11</f>
        <v>5.0677966101694913</v>
      </c>
      <c r="I11" s="11">
        <f>(H11/J11)-1</f>
        <v>-1.6949152542372836E-2</v>
      </c>
      <c r="J11" s="888">
        <v>5.1551724137931032</v>
      </c>
      <c r="K11" s="878">
        <f>'Teamprofile (8)'!E11</f>
        <v>3.5769230769230771</v>
      </c>
      <c r="L11" s="414">
        <f>(K11/M11)-1</f>
        <v>8.1395348837209447E-2</v>
      </c>
      <c r="M11" s="900">
        <v>3.3076923076923075</v>
      </c>
      <c r="N11" s="716">
        <f t="shared" ref="N11:AA11" si="17">N9/N38</f>
        <v>6.645833333333333</v>
      </c>
      <c r="O11" s="363">
        <f t="shared" si="17"/>
        <v>6.416666666666667</v>
      </c>
      <c r="P11" s="363">
        <f t="shared" si="17"/>
        <v>6.2553191489361701</v>
      </c>
      <c r="Q11" s="374">
        <f t="shared" si="17"/>
        <v>5.9361702127659575</v>
      </c>
      <c r="R11" s="720">
        <f t="shared" si="17"/>
        <v>6.583333333333333</v>
      </c>
      <c r="S11" s="365">
        <f t="shared" si="17"/>
        <v>4.6585365853658534</v>
      </c>
      <c r="T11" s="365">
        <f t="shared" ref="T11:U11" si="18">T9/T38</f>
        <v>4.5999999999999996</v>
      </c>
      <c r="U11" s="345">
        <f t="shared" si="18"/>
        <v>5.6060606060606064</v>
      </c>
      <c r="V11" s="365">
        <f t="shared" si="17"/>
        <v>4.6538461538461542</v>
      </c>
      <c r="W11" s="345">
        <f t="shared" si="17"/>
        <v>5</v>
      </c>
      <c r="X11" s="383">
        <f t="shared" si="17"/>
        <v>6.666666666666667</v>
      </c>
      <c r="Y11" s="367">
        <f t="shared" si="17"/>
        <v>5.6491228070175437</v>
      </c>
      <c r="Z11" s="367">
        <f t="shared" si="17"/>
        <v>6.28</v>
      </c>
      <c r="AA11" s="346">
        <f t="shared" si="17"/>
        <v>3.8571428571428572</v>
      </c>
      <c r="AB11" s="377">
        <f t="shared" ref="AB11:AF11" si="19">AB9/AB38</f>
        <v>6.6444444444444448</v>
      </c>
      <c r="AC11" s="377">
        <f t="shared" si="19"/>
        <v>4.25</v>
      </c>
      <c r="AD11" s="682">
        <f t="shared" si="19"/>
        <v>7.9565217391304346</v>
      </c>
      <c r="AE11" s="377">
        <f t="shared" si="19"/>
        <v>3.7333333333333334</v>
      </c>
      <c r="AF11" s="377">
        <f t="shared" si="19"/>
        <v>4.1071428571428568</v>
      </c>
      <c r="AG11" s="378">
        <f t="shared" ref="AG11:AO11" si="20">AG9/AG38</f>
        <v>2.9268292682926829</v>
      </c>
      <c r="AH11" s="378">
        <f t="shared" si="20"/>
        <v>2.8275862068965516</v>
      </c>
      <c r="AI11" s="378">
        <f t="shared" ref="AI11" si="21">AI9/AI38</f>
        <v>4.6749999999999998</v>
      </c>
      <c r="AJ11" s="384">
        <f t="shared" si="20"/>
        <v>5.6829268292682924</v>
      </c>
      <c r="AK11" s="378">
        <f t="shared" si="20"/>
        <v>4.4814814814814818</v>
      </c>
      <c r="AL11" s="379">
        <f t="shared" si="20"/>
        <v>4.7021276595744679</v>
      </c>
      <c r="AM11" s="379">
        <f t="shared" si="20"/>
        <v>1.8723404255319149</v>
      </c>
      <c r="AN11" s="379">
        <f t="shared" si="20"/>
        <v>3.8222222222222224</v>
      </c>
      <c r="AO11" s="749">
        <f t="shared" si="20"/>
        <v>4.9130434782608692</v>
      </c>
      <c r="AP11" s="385">
        <f t="shared" ref="AP11:AS11" si="22">AP9/AP38</f>
        <v>6.1111111111111107</v>
      </c>
      <c r="AQ11" s="381">
        <f t="shared" si="22"/>
        <v>3.3414634146341462</v>
      </c>
      <c r="AR11" s="381">
        <f>AR9/AR38</f>
        <v>4.5999999999999996</v>
      </c>
      <c r="AS11" s="381">
        <f t="shared" si="22"/>
        <v>4.9393939393939394</v>
      </c>
      <c r="AT11" s="380">
        <f t="shared" ref="AT11:BP11" si="23">AT9/AT38</f>
        <v>4.24</v>
      </c>
      <c r="AU11" s="380">
        <f t="shared" si="23"/>
        <v>3.5714285714285716</v>
      </c>
      <c r="AV11" s="380">
        <f t="shared" si="23"/>
        <v>3.375</v>
      </c>
      <c r="AW11" s="380">
        <f t="shared" si="23"/>
        <v>4.4285714285714288</v>
      </c>
      <c r="AX11" s="740">
        <f t="shared" si="23"/>
        <v>6.1</v>
      </c>
      <c r="AY11" s="733">
        <f t="shared" si="23"/>
        <v>3.9473684210526314</v>
      </c>
      <c r="AZ11" s="733">
        <f t="shared" si="23"/>
        <v>3.8823529411764706</v>
      </c>
      <c r="BA11" s="733">
        <f t="shared" si="23"/>
        <v>3.0833333333333335</v>
      </c>
      <c r="BB11" s="737">
        <f t="shared" si="23"/>
        <v>6.4324324324324325</v>
      </c>
      <c r="BC11" s="735">
        <f t="shared" si="23"/>
        <v>4.5</v>
      </c>
      <c r="BD11" s="735">
        <f t="shared" si="23"/>
        <v>4.2894736842105265</v>
      </c>
      <c r="BE11" s="816">
        <f t="shared" si="23"/>
        <v>4.625</v>
      </c>
      <c r="BF11" s="735">
        <f t="shared" si="23"/>
        <v>3.1071428571428572</v>
      </c>
      <c r="BG11" s="337">
        <f t="shared" si="23"/>
        <v>4.1707317073170733</v>
      </c>
      <c r="BH11" s="337">
        <f t="shared" si="23"/>
        <v>4.2285714285714286</v>
      </c>
      <c r="BI11" s="808">
        <f t="shared" si="23"/>
        <v>5.4375</v>
      </c>
      <c r="BJ11" s="829">
        <f t="shared" si="23"/>
        <v>3.5925925925925926</v>
      </c>
      <c r="BK11" s="335">
        <f t="shared" si="23"/>
        <v>3.7037037037037037</v>
      </c>
      <c r="BL11" s="337">
        <f t="shared" si="23"/>
        <v>2.7692307692307692</v>
      </c>
      <c r="BM11" s="337">
        <f t="shared" si="23"/>
        <v>2.12</v>
      </c>
      <c r="BN11" s="336">
        <f t="shared" si="23"/>
        <v>4.5714285714285712</v>
      </c>
      <c r="BO11" s="337">
        <f t="shared" si="23"/>
        <v>4</v>
      </c>
      <c r="BP11" s="807">
        <f t="shared" si="23"/>
        <v>5</v>
      </c>
      <c r="BQ11" s="31"/>
      <c r="BR11" s="386">
        <f>MAX(N11:BP11,K11,H11,E11,B11)</f>
        <v>7.9565217391304346</v>
      </c>
      <c r="BS11" s="386">
        <f>MIN(N11:BP11,K11,H11,E11,B11)</f>
        <v>1.8723404255319149</v>
      </c>
      <c r="BT11" s="31"/>
      <c r="BU11" s="387">
        <f>B11/$BR11</f>
        <v>0.74543056340682123</v>
      </c>
      <c r="BV11" s="9">
        <f>E11/$BR11</f>
        <v>0.57150221672337354</v>
      </c>
      <c r="BW11" s="332">
        <f>H11/$BR11</f>
        <v>0.63693618597758639</v>
      </c>
      <c r="BX11" s="9">
        <f>K11/$BR11</f>
        <v>0.44955863808322827</v>
      </c>
      <c r="BY11" s="355">
        <f t="shared" ref="BY11:DD11" si="24">N11/$BR11</f>
        <v>0.8352686703096539</v>
      </c>
      <c r="BZ11" s="332">
        <f t="shared" si="24"/>
        <v>0.80646630236794181</v>
      </c>
      <c r="CA11" s="199">
        <f t="shared" si="24"/>
        <v>0.78618765259853507</v>
      </c>
      <c r="CB11" s="199">
        <f t="shared" si="24"/>
        <v>0.74607603767003838</v>
      </c>
      <c r="CC11" s="355">
        <f t="shared" si="24"/>
        <v>0.82741347905282325</v>
      </c>
      <c r="CD11" s="168">
        <f t="shared" si="24"/>
        <v>0.58549913367986139</v>
      </c>
      <c r="CE11" s="168">
        <f t="shared" si="24"/>
        <v>0.57814207650273219</v>
      </c>
      <c r="CF11" s="227">
        <f t="shared" si="24"/>
        <v>0.70458685212783578</v>
      </c>
      <c r="CG11" s="168">
        <f t="shared" si="24"/>
        <v>0.58490962589323248</v>
      </c>
      <c r="CH11" s="168">
        <f t="shared" si="24"/>
        <v>0.62841530054644812</v>
      </c>
      <c r="CI11" s="355">
        <f t="shared" si="24"/>
        <v>0.8378870673952642</v>
      </c>
      <c r="CJ11" s="180">
        <f t="shared" si="24"/>
        <v>0.70999904131914482</v>
      </c>
      <c r="CK11" s="227">
        <f t="shared" si="24"/>
        <v>0.78928961748633886</v>
      </c>
      <c r="CL11" s="180">
        <f t="shared" si="24"/>
        <v>0.48477751756440285</v>
      </c>
      <c r="CM11" s="227">
        <f t="shared" si="24"/>
        <v>0.83509411050394666</v>
      </c>
      <c r="CN11" s="390">
        <f t="shared" si="24"/>
        <v>0.53415300546448086</v>
      </c>
      <c r="CO11" s="759">
        <f t="shared" si="24"/>
        <v>1</v>
      </c>
      <c r="CP11" s="390">
        <f t="shared" si="24"/>
        <v>0.46921675774134791</v>
      </c>
      <c r="CQ11" s="390">
        <f t="shared" si="24"/>
        <v>0.51619828259172518</v>
      </c>
      <c r="CR11" s="760">
        <f t="shared" si="24"/>
        <v>0.36785285885645741</v>
      </c>
      <c r="CS11" s="760">
        <f t="shared" si="24"/>
        <v>0.35537968720557755</v>
      </c>
      <c r="CT11" s="227">
        <f t="shared" si="24"/>
        <v>0.58756830601092891</v>
      </c>
      <c r="CU11" s="355">
        <f t="shared" si="24"/>
        <v>0.71424763427962146</v>
      </c>
      <c r="CV11" s="760">
        <f t="shared" si="24"/>
        <v>0.56324630641570539</v>
      </c>
      <c r="CW11" s="227">
        <f t="shared" si="24"/>
        <v>0.59097779327985112</v>
      </c>
      <c r="CX11" s="391">
        <f t="shared" si="24"/>
        <v>0.23532147424718058</v>
      </c>
      <c r="CY11" s="391">
        <f t="shared" si="24"/>
        <v>0.48038858530661815</v>
      </c>
      <c r="CZ11" s="355">
        <f t="shared" si="24"/>
        <v>0.61748633879781423</v>
      </c>
      <c r="DA11" s="355">
        <f t="shared" si="24"/>
        <v>0.76806314511232543</v>
      </c>
      <c r="DB11" s="393">
        <f t="shared" si="24"/>
        <v>0.41996534719445555</v>
      </c>
      <c r="DC11" s="227">
        <f t="shared" si="24"/>
        <v>0.57814207650273219</v>
      </c>
      <c r="DD11" s="393">
        <f t="shared" si="24"/>
        <v>0.62079814538830935</v>
      </c>
      <c r="DE11" s="392">
        <f t="shared" ref="DE11:EA11" si="25">AT11/$BR11</f>
        <v>0.53289617486338803</v>
      </c>
      <c r="DF11" s="392">
        <f t="shared" si="25"/>
        <v>0.44886807181889155</v>
      </c>
      <c r="DG11" s="392">
        <f t="shared" si="25"/>
        <v>0.42418032786885246</v>
      </c>
      <c r="DH11" s="227">
        <f t="shared" si="25"/>
        <v>0.55659640905542551</v>
      </c>
      <c r="DI11" s="355">
        <f t="shared" si="25"/>
        <v>0.76666666666666661</v>
      </c>
      <c r="DJ11" s="765">
        <f t="shared" si="25"/>
        <v>0.49611734253666956</v>
      </c>
      <c r="DK11" s="810">
        <f t="shared" si="25"/>
        <v>0.48794599807135969</v>
      </c>
      <c r="DL11" s="810">
        <f t="shared" si="25"/>
        <v>0.38752276867030966</v>
      </c>
      <c r="DM11" s="817">
        <f t="shared" si="25"/>
        <v>0.80844779205434947</v>
      </c>
      <c r="DN11" s="765">
        <f t="shared" si="25"/>
        <v>0.56557377049180324</v>
      </c>
      <c r="DO11" s="811">
        <f t="shared" si="25"/>
        <v>0.53911417888984758</v>
      </c>
      <c r="DP11" s="817">
        <f t="shared" si="25"/>
        <v>0.58128415300546454</v>
      </c>
      <c r="DQ11" s="811">
        <f t="shared" si="25"/>
        <v>0.39051522248243564</v>
      </c>
      <c r="DR11" s="843">
        <f t="shared" si="25"/>
        <v>0.52419032387045184</v>
      </c>
      <c r="DS11" s="227">
        <f t="shared" si="25"/>
        <v>0.53145979703356749</v>
      </c>
      <c r="DT11" s="226">
        <f t="shared" si="25"/>
        <v>0.68340163934426235</v>
      </c>
      <c r="DU11" s="837">
        <f t="shared" si="25"/>
        <v>0.45152803076300346</v>
      </c>
      <c r="DV11" s="843">
        <f t="shared" si="25"/>
        <v>0.46549281521959118</v>
      </c>
      <c r="DW11" s="505">
        <f t="shared" si="25"/>
        <v>0.34804539722572508</v>
      </c>
      <c r="DX11" s="505">
        <f t="shared" si="25"/>
        <v>0.26644808743169401</v>
      </c>
      <c r="DY11" s="227">
        <f t="shared" si="25"/>
        <v>0.57455113192818108</v>
      </c>
      <c r="DZ11" s="505">
        <f t="shared" si="25"/>
        <v>0.50273224043715847</v>
      </c>
      <c r="EA11" s="226">
        <f t="shared" si="25"/>
        <v>0.62841530054644812</v>
      </c>
      <c r="EB11" s="8"/>
    </row>
    <row r="12" spans="1:132">
      <c r="A12" s="25" t="s">
        <v>39</v>
      </c>
      <c r="B12" s="879">
        <f>'Teamprofile (8)'!B12</f>
        <v>6.7450980392156863</v>
      </c>
      <c r="C12" s="414">
        <f>(B12/D12)-1</f>
        <v>0.20367069386677228</v>
      </c>
      <c r="D12" s="889">
        <v>5.6037735849056602</v>
      </c>
      <c r="E12" s="881">
        <f>'Teamprofile (8)'!C12</f>
        <v>5.4772727272727275</v>
      </c>
      <c r="F12" s="414">
        <f>(E12/G12)-1</f>
        <v>-8.7121212121212044E-2</v>
      </c>
      <c r="G12" s="901">
        <v>6</v>
      </c>
      <c r="H12" s="879">
        <f>'Teamprofile (8)'!D12</f>
        <v>6.1020408163265305</v>
      </c>
      <c r="I12" s="414">
        <f>(H12/J12)-1</f>
        <v>2.0408163265305923E-2</v>
      </c>
      <c r="J12" s="889">
        <v>5.98</v>
      </c>
      <c r="K12" s="879">
        <f>'Teamprofile (8)'!E12</f>
        <v>4.5365853658536581</v>
      </c>
      <c r="L12" s="414">
        <f>(K12/M12)-1</f>
        <v>0.21327283040272249</v>
      </c>
      <c r="M12" s="889">
        <v>3.7391304347826089</v>
      </c>
      <c r="N12" s="207">
        <f t="shared" ref="N12:AA12" si="26">N9/N23</f>
        <v>7.25</v>
      </c>
      <c r="O12" s="207">
        <f t="shared" si="26"/>
        <v>7.1627906976744189</v>
      </c>
      <c r="P12" s="212">
        <f t="shared" si="26"/>
        <v>7.35</v>
      </c>
      <c r="Q12" s="211">
        <f t="shared" si="26"/>
        <v>6.8048780487804876</v>
      </c>
      <c r="R12" s="163">
        <f t="shared" si="26"/>
        <v>7.5961538461538458</v>
      </c>
      <c r="S12" s="163">
        <f t="shared" si="26"/>
        <v>6.3666666666666663</v>
      </c>
      <c r="T12" s="162">
        <f t="shared" ref="T12:U12" si="27">T9/T23</f>
        <v>5.5517241379310347</v>
      </c>
      <c r="U12" s="167">
        <f t="shared" si="27"/>
        <v>6.3793103448275863</v>
      </c>
      <c r="V12" s="162">
        <f t="shared" si="26"/>
        <v>5.5</v>
      </c>
      <c r="W12" s="167">
        <f t="shared" si="26"/>
        <v>6.666666666666667</v>
      </c>
      <c r="X12" s="187">
        <f t="shared" si="26"/>
        <v>7.5471698113207548</v>
      </c>
      <c r="Y12" s="187">
        <f t="shared" si="26"/>
        <v>6.44</v>
      </c>
      <c r="Z12" s="192">
        <f t="shared" si="26"/>
        <v>8.0512820512820511</v>
      </c>
      <c r="AA12" s="191">
        <f t="shared" si="26"/>
        <v>5.4</v>
      </c>
      <c r="AB12" s="286">
        <f t="shared" ref="AB12:AF12" si="28">AB9/AB23</f>
        <v>7.4749999999999996</v>
      </c>
      <c r="AC12" s="286">
        <f t="shared" si="28"/>
        <v>6.375</v>
      </c>
      <c r="AD12" s="286">
        <f t="shared" si="28"/>
        <v>8.3181818181818183</v>
      </c>
      <c r="AE12" s="286">
        <f t="shared" si="28"/>
        <v>5.333333333333333</v>
      </c>
      <c r="AF12" s="286">
        <f t="shared" si="28"/>
        <v>5</v>
      </c>
      <c r="AG12" s="275">
        <f t="shared" ref="AG12:AO12" si="29">AG9/AG23</f>
        <v>4.1379310344827589</v>
      </c>
      <c r="AH12" s="275">
        <f t="shared" si="29"/>
        <v>3.9047619047619047</v>
      </c>
      <c r="AI12" s="275">
        <f t="shared" ref="AI12" si="30">AI9/AI23</f>
        <v>5.84375</v>
      </c>
      <c r="AJ12" s="275">
        <f t="shared" si="29"/>
        <v>6.1315789473684212</v>
      </c>
      <c r="AK12" s="275">
        <f t="shared" si="29"/>
        <v>6.05</v>
      </c>
      <c r="AL12" s="301">
        <f t="shared" si="29"/>
        <v>5.1395348837209305</v>
      </c>
      <c r="AM12" s="301">
        <f t="shared" si="29"/>
        <v>2.9333333333333331</v>
      </c>
      <c r="AN12" s="301">
        <f t="shared" si="29"/>
        <v>4.6486486486486482</v>
      </c>
      <c r="AO12" s="301">
        <f t="shared" si="29"/>
        <v>5.65</v>
      </c>
      <c r="AP12" s="311">
        <f t="shared" ref="AP12:AS12" si="31">AP9/AP23</f>
        <v>7.2368421052631575</v>
      </c>
      <c r="AQ12" s="311">
        <f t="shared" si="31"/>
        <v>5.2692307692307692</v>
      </c>
      <c r="AR12" s="311">
        <f>AR9/AR23</f>
        <v>4.7352941176470589</v>
      </c>
      <c r="AS12" s="311">
        <f t="shared" si="31"/>
        <v>6.0370370370370372</v>
      </c>
      <c r="AT12" s="321">
        <f t="shared" ref="AT12:BP12" si="32">AT9/AT23</f>
        <v>6.625</v>
      </c>
      <c r="AU12" s="321">
        <f t="shared" si="32"/>
        <v>4.3478260869565215</v>
      </c>
      <c r="AV12" s="321">
        <f t="shared" si="32"/>
        <v>4.5</v>
      </c>
      <c r="AW12" s="321">
        <f t="shared" si="32"/>
        <v>6.2</v>
      </c>
      <c r="AX12" s="321">
        <f t="shared" si="32"/>
        <v>6.7777777777777777</v>
      </c>
      <c r="AY12" s="774">
        <f t="shared" si="32"/>
        <v>5.5555555555555554</v>
      </c>
      <c r="AZ12" s="774">
        <f t="shared" si="32"/>
        <v>6.2857142857142856</v>
      </c>
      <c r="BA12" s="774">
        <f t="shared" si="32"/>
        <v>4.2692307692307692</v>
      </c>
      <c r="BB12" s="774">
        <f t="shared" si="32"/>
        <v>7.2121212121212119</v>
      </c>
      <c r="BC12" s="788">
        <f t="shared" si="32"/>
        <v>5.2941176470588234</v>
      </c>
      <c r="BD12" s="788">
        <f t="shared" si="32"/>
        <v>5.4333333333333336</v>
      </c>
      <c r="BE12" s="788">
        <f t="shared" si="32"/>
        <v>5.92</v>
      </c>
      <c r="BF12" s="788">
        <f t="shared" si="32"/>
        <v>4.5789473684210522</v>
      </c>
      <c r="BG12" s="508">
        <f t="shared" si="32"/>
        <v>6.333333333333333</v>
      </c>
      <c r="BH12" s="508">
        <f t="shared" si="32"/>
        <v>5.2857142857142856</v>
      </c>
      <c r="BI12" s="27">
        <f t="shared" si="32"/>
        <v>6.2142857142857144</v>
      </c>
      <c r="BJ12" s="830">
        <f t="shared" si="32"/>
        <v>4.4090909090909092</v>
      </c>
      <c r="BK12" s="508">
        <f t="shared" si="32"/>
        <v>4.7619047619047619</v>
      </c>
      <c r="BL12" s="508">
        <f t="shared" si="32"/>
        <v>3.6</v>
      </c>
      <c r="BM12" s="27">
        <f t="shared" si="32"/>
        <v>4.0769230769230766</v>
      </c>
      <c r="BN12" s="513">
        <f t="shared" si="32"/>
        <v>6.4</v>
      </c>
      <c r="BO12" s="27">
        <f t="shared" si="32"/>
        <v>5.666666666666667</v>
      </c>
      <c r="BP12" s="513">
        <f t="shared" si="32"/>
        <v>8.3333333333333339</v>
      </c>
      <c r="BQ12" s="1"/>
      <c r="BT12" s="1"/>
      <c r="BY12" s="194"/>
      <c r="BZ12" s="194"/>
      <c r="CA12" s="194"/>
      <c r="CB12" s="194"/>
      <c r="CC12" s="170"/>
      <c r="CD12" s="170"/>
      <c r="CE12" s="170"/>
      <c r="CF12" s="170"/>
      <c r="CG12" s="170"/>
      <c r="CH12" s="170"/>
      <c r="CI12" s="174"/>
      <c r="CJ12" s="174"/>
      <c r="CK12" s="174"/>
      <c r="CL12" s="174"/>
      <c r="CM12" s="286"/>
      <c r="CN12" s="286"/>
      <c r="CO12" s="286"/>
      <c r="CP12" s="286"/>
      <c r="CQ12" s="286"/>
      <c r="CR12" s="275"/>
      <c r="CS12" s="275"/>
      <c r="CT12" s="275"/>
      <c r="CU12" s="275"/>
      <c r="CV12" s="275"/>
      <c r="CW12" s="301"/>
      <c r="CX12" s="301"/>
      <c r="CY12" s="301"/>
      <c r="CZ12" s="301"/>
      <c r="DA12" s="311"/>
      <c r="DB12" s="311"/>
      <c r="DC12" s="311"/>
      <c r="DD12" s="311"/>
      <c r="DE12" s="321"/>
      <c r="DF12" s="321"/>
      <c r="DG12" s="321"/>
      <c r="DH12" s="321"/>
      <c r="DI12" s="321"/>
      <c r="DJ12" s="774"/>
      <c r="DK12" s="774"/>
      <c r="DL12" s="774"/>
      <c r="DM12" s="774"/>
      <c r="DN12" s="788"/>
      <c r="DO12" s="788"/>
      <c r="DP12" s="788"/>
      <c r="DQ12" s="788"/>
      <c r="DU12" s="840"/>
      <c r="EB12" s="10"/>
    </row>
    <row r="13" spans="1:132" s="460" customFormat="1">
      <c r="A13" s="438" t="s">
        <v>91</v>
      </c>
      <c r="B13" s="439">
        <f>B12/B11</f>
        <v>1.1372549019607843</v>
      </c>
      <c r="C13" s="440"/>
      <c r="D13" s="908">
        <f>D12/D11</f>
        <v>1.2830188679245285</v>
      </c>
      <c r="E13" s="439">
        <f>E12/E11</f>
        <v>1.2045454545454546</v>
      </c>
      <c r="F13" s="441"/>
      <c r="G13" s="908">
        <v>1.2</v>
      </c>
      <c r="H13" s="442">
        <f>H12/H11</f>
        <v>1.2040816326530612</v>
      </c>
      <c r="I13" s="443"/>
      <c r="J13" s="908">
        <f>J12/J11</f>
        <v>1.1600000000000001</v>
      </c>
      <c r="K13" s="444">
        <f>K12/K11</f>
        <v>1.2682926829268291</v>
      </c>
      <c r="L13" s="445"/>
      <c r="M13" s="908">
        <v>1.1304347826086958</v>
      </c>
      <c r="N13" s="446">
        <f t="shared" ref="N13:AA13" si="33">N12/N11</f>
        <v>1.0909090909090911</v>
      </c>
      <c r="O13" s="446">
        <f t="shared" si="33"/>
        <v>1.1162790697674418</v>
      </c>
      <c r="P13" s="447">
        <f t="shared" si="33"/>
        <v>1.175</v>
      </c>
      <c r="Q13" s="448">
        <f t="shared" si="33"/>
        <v>1.1463414634146341</v>
      </c>
      <c r="R13" s="449">
        <f t="shared" si="33"/>
        <v>1.1538461538461537</v>
      </c>
      <c r="S13" s="449">
        <f t="shared" si="33"/>
        <v>1.3666666666666667</v>
      </c>
      <c r="T13" s="450">
        <f t="shared" ref="T13:U13" si="34">T12/T11</f>
        <v>1.2068965517241381</v>
      </c>
      <c r="U13" s="451">
        <f t="shared" si="34"/>
        <v>1.1379310344827587</v>
      </c>
      <c r="V13" s="450">
        <f t="shared" si="33"/>
        <v>1.1818181818181817</v>
      </c>
      <c r="W13" s="451">
        <f t="shared" si="33"/>
        <v>1.3333333333333335</v>
      </c>
      <c r="X13" s="452">
        <f t="shared" si="33"/>
        <v>1.1320754716981132</v>
      </c>
      <c r="Y13" s="452">
        <f t="shared" si="33"/>
        <v>1.1400000000000001</v>
      </c>
      <c r="Z13" s="453">
        <f t="shared" si="33"/>
        <v>1.2820512820512819</v>
      </c>
      <c r="AA13" s="454">
        <f t="shared" si="33"/>
        <v>1.4000000000000001</v>
      </c>
      <c r="AB13" s="455">
        <f t="shared" ref="AB13:AF13" si="35">AB12/AB11</f>
        <v>1.1249999999999998</v>
      </c>
      <c r="AC13" s="455">
        <f t="shared" si="35"/>
        <v>1.5</v>
      </c>
      <c r="AD13" s="455">
        <f t="shared" si="35"/>
        <v>1.0454545454545454</v>
      </c>
      <c r="AE13" s="455">
        <f t="shared" si="35"/>
        <v>1.4285714285714284</v>
      </c>
      <c r="AF13" s="455">
        <f t="shared" si="35"/>
        <v>1.2173913043478262</v>
      </c>
      <c r="AG13" s="456">
        <f t="shared" ref="AG13:AO13" si="36">AG12/AG11</f>
        <v>1.413793103448276</v>
      </c>
      <c r="AH13" s="456">
        <f t="shared" si="36"/>
        <v>1.3809523809523809</v>
      </c>
      <c r="AI13" s="456">
        <f t="shared" ref="AI13" si="37">AI12/AI11</f>
        <v>1.25</v>
      </c>
      <c r="AJ13" s="456">
        <f t="shared" si="36"/>
        <v>1.0789473684210527</v>
      </c>
      <c r="AK13" s="456">
        <f t="shared" si="36"/>
        <v>1.3499999999999999</v>
      </c>
      <c r="AL13" s="457">
        <f t="shared" si="36"/>
        <v>1.0930232558139537</v>
      </c>
      <c r="AM13" s="457">
        <f t="shared" si="36"/>
        <v>1.5666666666666664</v>
      </c>
      <c r="AN13" s="457">
        <f t="shared" si="36"/>
        <v>1.216216216216216</v>
      </c>
      <c r="AO13" s="457">
        <f t="shared" si="36"/>
        <v>1.1500000000000001</v>
      </c>
      <c r="AP13" s="459">
        <f t="shared" ref="AP13:AS13" si="38">AP12/AP11</f>
        <v>1.1842105263157894</v>
      </c>
      <c r="AQ13" s="459">
        <f t="shared" si="38"/>
        <v>1.5769230769230769</v>
      </c>
      <c r="AR13" s="459">
        <f t="shared" si="38"/>
        <v>1.0294117647058825</v>
      </c>
      <c r="AS13" s="459">
        <f t="shared" si="38"/>
        <v>1.2222222222222223</v>
      </c>
      <c r="AT13" s="458">
        <f t="shared" ref="AT13:BP13" si="39">AT12/AT11</f>
        <v>1.5625</v>
      </c>
      <c r="AU13" s="458">
        <f t="shared" si="39"/>
        <v>1.2173913043478259</v>
      </c>
      <c r="AV13" s="458">
        <f t="shared" si="39"/>
        <v>1.3333333333333333</v>
      </c>
      <c r="AW13" s="458">
        <f t="shared" si="39"/>
        <v>1.4</v>
      </c>
      <c r="AX13" s="458">
        <f t="shared" si="39"/>
        <v>1.1111111111111112</v>
      </c>
      <c r="AY13" s="797">
        <f t="shared" si="39"/>
        <v>1.4074074074074074</v>
      </c>
      <c r="AZ13" s="797">
        <f t="shared" si="39"/>
        <v>1.6190476190476191</v>
      </c>
      <c r="BA13" s="797">
        <f t="shared" si="39"/>
        <v>1.3846153846153846</v>
      </c>
      <c r="BB13" s="797">
        <f t="shared" si="39"/>
        <v>1.1212121212121211</v>
      </c>
      <c r="BC13" s="802">
        <f t="shared" si="39"/>
        <v>1.1764705882352942</v>
      </c>
      <c r="BD13" s="802">
        <f t="shared" si="39"/>
        <v>1.2666666666666666</v>
      </c>
      <c r="BE13" s="802">
        <f t="shared" si="39"/>
        <v>1.28</v>
      </c>
      <c r="BF13" s="802">
        <f t="shared" si="39"/>
        <v>1.4736842105263157</v>
      </c>
      <c r="BG13" s="439">
        <f t="shared" si="39"/>
        <v>1.5185185185185184</v>
      </c>
      <c r="BH13" s="439">
        <f t="shared" si="39"/>
        <v>1.25</v>
      </c>
      <c r="BI13" s="442">
        <f t="shared" si="39"/>
        <v>1.1428571428571428</v>
      </c>
      <c r="BJ13" s="831">
        <f t="shared" si="39"/>
        <v>1.2272727272727273</v>
      </c>
      <c r="BK13" s="439">
        <f t="shared" si="39"/>
        <v>1.2857142857142856</v>
      </c>
      <c r="BL13" s="439">
        <f t="shared" si="39"/>
        <v>1.3</v>
      </c>
      <c r="BM13" s="442">
        <f t="shared" si="39"/>
        <v>1.9230769230769229</v>
      </c>
      <c r="BN13" s="444">
        <f t="shared" si="39"/>
        <v>1.4000000000000001</v>
      </c>
      <c r="BO13" s="442">
        <f t="shared" si="39"/>
        <v>1.4166666666666667</v>
      </c>
      <c r="BP13" s="444">
        <f t="shared" si="39"/>
        <v>1.6666666666666667</v>
      </c>
      <c r="BR13" s="218"/>
      <c r="BS13" s="218"/>
      <c r="BU13" s="4"/>
      <c r="BV13" s="4"/>
      <c r="BW13" s="4"/>
      <c r="BX13" s="4"/>
      <c r="BY13" s="461"/>
      <c r="BZ13" s="461"/>
      <c r="CA13" s="461"/>
      <c r="CB13" s="461"/>
      <c r="CC13" s="462"/>
      <c r="CD13" s="462"/>
      <c r="CE13" s="462"/>
      <c r="CF13" s="462"/>
      <c r="CG13" s="462"/>
      <c r="CH13" s="462"/>
      <c r="CI13" s="463"/>
      <c r="CJ13" s="463"/>
      <c r="CK13" s="463"/>
      <c r="CL13" s="463"/>
      <c r="CM13" s="455"/>
      <c r="CN13" s="455"/>
      <c r="CO13" s="455"/>
      <c r="CP13" s="455"/>
      <c r="CQ13" s="455"/>
      <c r="CR13" s="456"/>
      <c r="CS13" s="456"/>
      <c r="CT13" s="456"/>
      <c r="CU13" s="456"/>
      <c r="CV13" s="456"/>
      <c r="CW13" s="457"/>
      <c r="CX13" s="457"/>
      <c r="CY13" s="457"/>
      <c r="CZ13" s="457"/>
      <c r="DA13" s="459"/>
      <c r="DB13" s="459"/>
      <c r="DC13" s="459"/>
      <c r="DD13" s="459"/>
      <c r="DE13" s="458"/>
      <c r="DF13" s="458"/>
      <c r="DG13" s="458"/>
      <c r="DH13" s="458"/>
      <c r="DI13" s="458"/>
      <c r="DJ13" s="797"/>
      <c r="DK13" s="797"/>
      <c r="DL13" s="797"/>
      <c r="DM13" s="797"/>
      <c r="DN13" s="802"/>
      <c r="DO13" s="802"/>
      <c r="DP13" s="802"/>
      <c r="DQ13" s="802"/>
      <c r="DR13" s="4"/>
      <c r="DS13" s="4"/>
      <c r="DT13" s="4"/>
      <c r="DU13" s="841"/>
      <c r="DV13" s="4"/>
      <c r="DW13" s="4"/>
      <c r="DX13" s="4"/>
      <c r="DY13" s="4"/>
      <c r="DZ13" s="4"/>
      <c r="EA13" s="4"/>
      <c r="EB13" s="464"/>
    </row>
    <row r="14" spans="1:132" s="2" customFormat="1" ht="6" customHeight="1">
      <c r="B14" s="10"/>
      <c r="C14" s="10"/>
      <c r="D14" s="887"/>
      <c r="E14" s="10"/>
      <c r="F14" s="10"/>
      <c r="G14" s="887"/>
      <c r="H14" s="10"/>
      <c r="I14" s="10"/>
      <c r="J14" s="887"/>
      <c r="K14" s="10"/>
      <c r="L14" s="10"/>
      <c r="M14" s="887"/>
      <c r="N14" s="10"/>
      <c r="O14" s="10"/>
      <c r="P14" s="10"/>
      <c r="Q14" s="10"/>
      <c r="R14" s="10"/>
      <c r="S14" s="10"/>
      <c r="T14" s="506"/>
      <c r="U14" s="506"/>
      <c r="V14" s="10"/>
      <c r="W14" s="10"/>
      <c r="X14" s="10"/>
      <c r="Y14" s="10"/>
      <c r="Z14" s="10"/>
      <c r="AA14" s="10"/>
      <c r="AB14" s="10"/>
      <c r="AC14" s="506"/>
      <c r="AD14" s="506"/>
      <c r="AE14" s="506"/>
      <c r="AF14" s="506"/>
      <c r="AG14" s="506"/>
      <c r="AH14" s="506"/>
      <c r="AI14" s="506"/>
      <c r="AJ14" s="506"/>
      <c r="AK14" s="10"/>
      <c r="AL14" s="506"/>
      <c r="AM14" s="506"/>
      <c r="AN14" s="10"/>
      <c r="AO14" s="10"/>
      <c r="AP14" s="10"/>
      <c r="AQ14" s="10"/>
      <c r="AR14" s="506"/>
      <c r="AS14" s="506"/>
      <c r="AT14" s="10"/>
      <c r="AU14" s="506"/>
      <c r="AV14" s="506"/>
      <c r="AW14" s="506"/>
      <c r="AX14" s="10"/>
      <c r="AY14" s="506"/>
      <c r="AZ14" s="506"/>
      <c r="BA14" s="506"/>
      <c r="BB14" s="506"/>
      <c r="BC14" s="506"/>
      <c r="BD14" s="506"/>
      <c r="BE14" s="506"/>
      <c r="BF14" s="506"/>
      <c r="BG14" s="506"/>
      <c r="BH14" s="506"/>
      <c r="BI14" s="506"/>
      <c r="BJ14" s="827"/>
      <c r="BK14" s="506"/>
      <c r="BL14" s="506"/>
      <c r="BM14" s="506"/>
      <c r="BN14" s="506"/>
      <c r="BO14" s="506"/>
      <c r="BP14" s="506"/>
      <c r="BR14" s="219"/>
      <c r="BS14" s="219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506"/>
      <c r="CF14" s="506"/>
      <c r="CG14" s="10"/>
      <c r="CH14" s="10"/>
      <c r="CI14" s="10"/>
      <c r="CJ14" s="10"/>
      <c r="CK14" s="10"/>
      <c r="CL14" s="10"/>
      <c r="CM14" s="506"/>
      <c r="CN14" s="506"/>
      <c r="CO14" s="506"/>
      <c r="CP14" s="506"/>
      <c r="CQ14" s="10"/>
      <c r="CR14" s="506"/>
      <c r="CS14" s="506"/>
      <c r="CT14" s="506"/>
      <c r="CU14" s="506"/>
      <c r="CV14" s="10"/>
      <c r="CW14" s="506"/>
      <c r="CX14" s="506"/>
      <c r="CY14" s="10"/>
      <c r="CZ14" s="10"/>
      <c r="DA14" s="506"/>
      <c r="DB14" s="506"/>
      <c r="DC14" s="10"/>
      <c r="DD14" s="10"/>
      <c r="DE14" s="506"/>
      <c r="DF14" s="506"/>
      <c r="DG14" s="506"/>
      <c r="DH14" s="10"/>
      <c r="DI14" s="10"/>
      <c r="DJ14" s="506"/>
      <c r="DK14" s="506"/>
      <c r="DL14" s="506"/>
      <c r="DM14" s="506"/>
      <c r="DN14" s="506"/>
      <c r="DO14" s="506"/>
      <c r="DP14" s="506"/>
      <c r="DQ14" s="506"/>
      <c r="DR14" s="506"/>
      <c r="DS14" s="506"/>
      <c r="DT14" s="506"/>
      <c r="DU14" s="827"/>
      <c r="DV14" s="506"/>
      <c r="DW14" s="506"/>
      <c r="DX14" s="506"/>
      <c r="DY14" s="506"/>
      <c r="DZ14" s="506"/>
      <c r="EA14" s="506"/>
      <c r="EB14" s="10"/>
    </row>
    <row r="15" spans="1:132">
      <c r="A15" s="1" t="s">
        <v>65</v>
      </c>
      <c r="B15" s="19">
        <f>'Teamprofile (8)'!B14</f>
        <v>11</v>
      </c>
      <c r="C15" s="19"/>
      <c r="D15" s="886">
        <v>10</v>
      </c>
      <c r="E15" s="19">
        <f>'Teamprofile (8)'!C14</f>
        <v>7</v>
      </c>
      <c r="F15" s="16"/>
      <c r="G15" s="891">
        <v>5</v>
      </c>
      <c r="H15" s="19">
        <f>'Teamprofile (8)'!D14</f>
        <v>14</v>
      </c>
      <c r="I15" s="19"/>
      <c r="J15" s="886">
        <v>14</v>
      </c>
      <c r="K15" s="16">
        <f>'Teamprofile (8)'!E14</f>
        <v>3</v>
      </c>
      <c r="L15" s="16"/>
      <c r="M15" s="891">
        <v>1</v>
      </c>
      <c r="N15" s="205">
        <v>14</v>
      </c>
      <c r="O15" s="195">
        <v>16</v>
      </c>
      <c r="P15" s="205">
        <v>13</v>
      </c>
      <c r="Q15" s="195">
        <v>10</v>
      </c>
      <c r="R15" s="157">
        <v>23</v>
      </c>
      <c r="S15" s="156">
        <v>10</v>
      </c>
      <c r="T15" s="157">
        <v>5</v>
      </c>
      <c r="U15" s="598">
        <v>1</v>
      </c>
      <c r="V15" s="157">
        <v>6</v>
      </c>
      <c r="W15" s="156">
        <v>2</v>
      </c>
      <c r="X15" s="186">
        <v>20</v>
      </c>
      <c r="Y15" s="175">
        <v>15</v>
      </c>
      <c r="Z15" s="186">
        <v>11</v>
      </c>
      <c r="AA15" s="175">
        <v>7</v>
      </c>
      <c r="AB15" s="282">
        <v>17</v>
      </c>
      <c r="AC15" s="282">
        <v>2</v>
      </c>
      <c r="AD15" s="282">
        <v>10</v>
      </c>
      <c r="AE15" s="282">
        <v>1</v>
      </c>
      <c r="AF15" s="282">
        <v>0</v>
      </c>
      <c r="AG15" s="271">
        <v>7</v>
      </c>
      <c r="AH15" s="271">
        <v>3</v>
      </c>
      <c r="AI15" s="271">
        <v>5</v>
      </c>
      <c r="AJ15" s="271">
        <v>9</v>
      </c>
      <c r="AK15" s="271">
        <v>1</v>
      </c>
      <c r="AL15" s="297">
        <v>10</v>
      </c>
      <c r="AM15" s="297">
        <v>5</v>
      </c>
      <c r="AN15" s="297">
        <v>2</v>
      </c>
      <c r="AO15" s="297">
        <v>7</v>
      </c>
      <c r="AP15" s="307">
        <v>17</v>
      </c>
      <c r="AQ15" s="307">
        <v>5</v>
      </c>
      <c r="AR15" s="307">
        <v>1</v>
      </c>
      <c r="AS15" s="307">
        <v>0</v>
      </c>
      <c r="AT15" s="317">
        <v>1</v>
      </c>
      <c r="AU15" s="317">
        <v>6</v>
      </c>
      <c r="AV15" s="317">
        <v>1</v>
      </c>
      <c r="AW15" s="317">
        <v>3</v>
      </c>
      <c r="AX15" s="317">
        <v>7</v>
      </c>
      <c r="AY15" s="768">
        <v>7</v>
      </c>
      <c r="AZ15" s="768">
        <v>6</v>
      </c>
      <c r="BA15" s="768">
        <v>7</v>
      </c>
      <c r="BB15" s="768">
        <v>6</v>
      </c>
      <c r="BC15" s="782">
        <v>13</v>
      </c>
      <c r="BD15" s="782">
        <v>4</v>
      </c>
      <c r="BE15" s="782">
        <v>0</v>
      </c>
      <c r="BF15" s="782">
        <v>0</v>
      </c>
      <c r="BG15" s="19">
        <v>11</v>
      </c>
      <c r="BH15" s="510">
        <v>3</v>
      </c>
      <c r="BI15" s="19">
        <v>2</v>
      </c>
      <c r="BJ15" s="823">
        <v>0</v>
      </c>
      <c r="BK15" s="19">
        <v>8</v>
      </c>
      <c r="BL15" s="510">
        <v>3</v>
      </c>
      <c r="BM15" s="19">
        <v>0</v>
      </c>
      <c r="BN15" s="510">
        <v>0</v>
      </c>
      <c r="BO15" s="19">
        <v>5</v>
      </c>
      <c r="BP15" s="510">
        <v>0</v>
      </c>
      <c r="BQ15" s="1"/>
      <c r="BR15" s="220"/>
      <c r="BS15" s="220"/>
      <c r="BT15" s="1"/>
      <c r="BU15" s="16"/>
      <c r="BV15" s="16"/>
      <c r="BW15" s="16"/>
      <c r="BX15" s="16"/>
      <c r="BY15" s="195"/>
      <c r="BZ15" s="195"/>
      <c r="CA15" s="195"/>
      <c r="CB15" s="195"/>
      <c r="CC15" s="156"/>
      <c r="CD15" s="156"/>
      <c r="CE15" s="598"/>
      <c r="CF15" s="598"/>
      <c r="CG15" s="156"/>
      <c r="CH15" s="156"/>
      <c r="CI15" s="175"/>
      <c r="CJ15" s="175"/>
      <c r="CK15" s="175"/>
      <c r="CL15" s="175"/>
      <c r="CM15" s="282"/>
      <c r="CN15" s="282"/>
      <c r="CO15" s="282"/>
      <c r="CP15" s="282"/>
      <c r="CQ15" s="282"/>
      <c r="CR15" s="271"/>
      <c r="CS15" s="271"/>
      <c r="CT15" s="271"/>
      <c r="CU15" s="271"/>
      <c r="CV15" s="271"/>
      <c r="CW15" s="297"/>
      <c r="CX15" s="297"/>
      <c r="CY15" s="297"/>
      <c r="CZ15" s="297"/>
      <c r="DA15" s="307"/>
      <c r="DB15" s="307"/>
      <c r="DC15" s="307"/>
      <c r="DD15" s="307"/>
      <c r="DE15" s="317"/>
      <c r="DF15" s="317"/>
      <c r="DG15" s="317"/>
      <c r="DH15" s="317"/>
      <c r="DI15" s="317"/>
      <c r="DJ15" s="768"/>
      <c r="DK15" s="768"/>
      <c r="DL15" s="768"/>
      <c r="DM15" s="768"/>
      <c r="DN15" s="782"/>
      <c r="DO15" s="782"/>
      <c r="DP15" s="782"/>
      <c r="DQ15" s="782"/>
      <c r="DR15" s="510"/>
      <c r="DS15" s="510"/>
      <c r="DT15" s="510"/>
      <c r="DU15" s="823"/>
      <c r="DV15" s="510"/>
      <c r="DW15" s="510"/>
      <c r="DX15" s="510"/>
      <c r="DY15" s="510"/>
      <c r="DZ15" s="510"/>
      <c r="EA15" s="510"/>
      <c r="EB15" s="10"/>
    </row>
    <row r="16" spans="1:132">
      <c r="A16" s="25" t="s">
        <v>66</v>
      </c>
      <c r="B16" s="915">
        <f>'Teamprofile (8)'!B15</f>
        <v>0.44</v>
      </c>
      <c r="C16" s="509">
        <f>(B16/D16)-1</f>
        <v>-0.12</v>
      </c>
      <c r="D16" s="913">
        <v>0.5</v>
      </c>
      <c r="E16" s="915">
        <f>'Teamprofile (8)'!C15</f>
        <v>0.28000000000000003</v>
      </c>
      <c r="F16" s="509">
        <f>(E16/G16)-1</f>
        <v>-0.27200000000000002</v>
      </c>
      <c r="G16" s="913">
        <v>0.38461538461538464</v>
      </c>
      <c r="H16" s="912">
        <f>'Teamprofile (8)'!D15</f>
        <v>0.56000000000000005</v>
      </c>
      <c r="I16" s="509">
        <f>(H16/J16)-1</f>
        <v>-0.15999999999999992</v>
      </c>
      <c r="J16" s="913">
        <v>0.66666666666666663</v>
      </c>
      <c r="K16" s="914">
        <f>'Teamprofile (8)'!E15</f>
        <v>0.12</v>
      </c>
      <c r="L16" s="509">
        <f>(K16/M16)-1</f>
        <v>0.43999999999999995</v>
      </c>
      <c r="M16" s="893">
        <v>8.3333333333333329E-2</v>
      </c>
      <c r="N16" s="198">
        <f t="shared" ref="N16:AA16" si="40">N15/N2</f>
        <v>0.56000000000000005</v>
      </c>
      <c r="O16" s="196">
        <f t="shared" si="40"/>
        <v>0.64</v>
      </c>
      <c r="P16" s="198">
        <f t="shared" si="40"/>
        <v>0.52</v>
      </c>
      <c r="Q16" s="196">
        <f t="shared" si="40"/>
        <v>0.4</v>
      </c>
      <c r="R16" s="160">
        <f t="shared" si="40"/>
        <v>0.92</v>
      </c>
      <c r="S16" s="158">
        <f t="shared" si="40"/>
        <v>0.52631578947368418</v>
      </c>
      <c r="T16" s="160">
        <f t="shared" ref="T16:U16" si="41">T15/T2</f>
        <v>0.29411764705882354</v>
      </c>
      <c r="U16" s="158">
        <f t="shared" si="41"/>
        <v>4.5454545454545456E-2</v>
      </c>
      <c r="V16" s="160">
        <f t="shared" si="40"/>
        <v>0.5</v>
      </c>
      <c r="W16" s="158">
        <f t="shared" si="40"/>
        <v>0.4</v>
      </c>
      <c r="X16" s="178">
        <f t="shared" si="40"/>
        <v>0.7407407407407407</v>
      </c>
      <c r="Y16" s="176">
        <f t="shared" si="40"/>
        <v>0.55555555555555558</v>
      </c>
      <c r="Z16" s="178">
        <f t="shared" si="40"/>
        <v>0.40740740740740738</v>
      </c>
      <c r="AA16" s="176">
        <f t="shared" si="40"/>
        <v>0.25925925925925924</v>
      </c>
      <c r="AB16" s="287">
        <f t="shared" ref="AB16:AF16" si="42">AB15/AB2</f>
        <v>1</v>
      </c>
      <c r="AC16" s="287">
        <f t="shared" si="42"/>
        <v>0.33333333333333331</v>
      </c>
      <c r="AD16" s="287">
        <f t="shared" si="42"/>
        <v>0.90909090909090906</v>
      </c>
      <c r="AE16" s="287">
        <f t="shared" si="42"/>
        <v>5.8823529411764705E-2</v>
      </c>
      <c r="AF16" s="287">
        <f t="shared" si="42"/>
        <v>0</v>
      </c>
      <c r="AG16" s="276">
        <f t="shared" ref="AG16:AO16" si="43">AG15/AG2</f>
        <v>0.46666666666666667</v>
      </c>
      <c r="AH16" s="276">
        <f t="shared" si="43"/>
        <v>0.23076923076923078</v>
      </c>
      <c r="AI16" s="276">
        <f t="shared" ref="AI16" si="44">AI15/AI2</f>
        <v>0.3125</v>
      </c>
      <c r="AJ16" s="276">
        <f t="shared" si="43"/>
        <v>0.5625</v>
      </c>
      <c r="AK16" s="276">
        <f t="shared" si="43"/>
        <v>8.3333333333333329E-2</v>
      </c>
      <c r="AL16" s="302">
        <f t="shared" si="43"/>
        <v>0.58823529411764708</v>
      </c>
      <c r="AM16" s="302">
        <f t="shared" si="43"/>
        <v>0.29411764705882354</v>
      </c>
      <c r="AN16" s="302">
        <f t="shared" si="43"/>
        <v>0.11764705882352941</v>
      </c>
      <c r="AO16" s="302">
        <f t="shared" si="43"/>
        <v>0.41176470588235292</v>
      </c>
      <c r="AP16" s="312">
        <f t="shared" ref="AP16:AS16" si="45">AP15/AP2</f>
        <v>1</v>
      </c>
      <c r="AQ16" s="312">
        <f t="shared" si="45"/>
        <v>0.29411764705882354</v>
      </c>
      <c r="AR16" s="312">
        <f t="shared" si="45"/>
        <v>5.8823529411764705E-2</v>
      </c>
      <c r="AS16" s="312">
        <f t="shared" si="45"/>
        <v>0</v>
      </c>
      <c r="AT16" s="322">
        <f t="shared" ref="AT16:BP16" si="46">AT15/AT2</f>
        <v>8.3333333333333329E-2</v>
      </c>
      <c r="AU16" s="322">
        <f t="shared" si="46"/>
        <v>0.5</v>
      </c>
      <c r="AV16" s="322">
        <f t="shared" si="46"/>
        <v>0.125</v>
      </c>
      <c r="AW16" s="322">
        <f t="shared" si="46"/>
        <v>0.25</v>
      </c>
      <c r="AX16" s="322">
        <f t="shared" si="46"/>
        <v>0.58333333333333337</v>
      </c>
      <c r="AY16" s="775">
        <f t="shared" si="46"/>
        <v>0.46666666666666667</v>
      </c>
      <c r="AZ16" s="775">
        <f t="shared" si="46"/>
        <v>0.4</v>
      </c>
      <c r="BA16" s="775">
        <f t="shared" si="46"/>
        <v>0.46666666666666667</v>
      </c>
      <c r="BB16" s="775">
        <f t="shared" si="46"/>
        <v>0.4</v>
      </c>
      <c r="BC16" s="789">
        <f t="shared" si="46"/>
        <v>0.9285714285714286</v>
      </c>
      <c r="BD16" s="789">
        <f t="shared" si="46"/>
        <v>0.2857142857142857</v>
      </c>
      <c r="BE16" s="789">
        <f t="shared" si="46"/>
        <v>0</v>
      </c>
      <c r="BF16" s="789">
        <f t="shared" si="46"/>
        <v>0</v>
      </c>
      <c r="BG16" s="11">
        <f t="shared" si="46"/>
        <v>0.6875</v>
      </c>
      <c r="BH16" s="507">
        <f t="shared" si="46"/>
        <v>0.1875</v>
      </c>
      <c r="BI16" s="11">
        <f t="shared" si="46"/>
        <v>0.125</v>
      </c>
      <c r="BJ16" s="832">
        <f t="shared" si="46"/>
        <v>0</v>
      </c>
      <c r="BK16" s="11">
        <f t="shared" si="46"/>
        <v>0.8</v>
      </c>
      <c r="BL16" s="507">
        <f t="shared" si="46"/>
        <v>0.5</v>
      </c>
      <c r="BM16" s="11">
        <f t="shared" si="46"/>
        <v>0</v>
      </c>
      <c r="BN16" s="507">
        <f t="shared" si="46"/>
        <v>0</v>
      </c>
      <c r="BO16" s="11">
        <f t="shared" si="46"/>
        <v>0.625</v>
      </c>
      <c r="BP16" s="507">
        <f t="shared" si="46"/>
        <v>0</v>
      </c>
      <c r="BQ16" s="1"/>
      <c r="BR16" s="221"/>
      <c r="BS16" s="221"/>
      <c r="BT16" s="1"/>
      <c r="BU16" s="12"/>
      <c r="BV16" s="12"/>
      <c r="BW16" s="12"/>
      <c r="BX16" s="12"/>
      <c r="BY16" s="196"/>
      <c r="BZ16" s="196"/>
      <c r="CA16" s="196"/>
      <c r="CB16" s="196"/>
      <c r="CC16" s="158"/>
      <c r="CD16" s="158"/>
      <c r="CE16" s="158"/>
      <c r="CF16" s="158"/>
      <c r="CG16" s="158"/>
      <c r="CH16" s="158"/>
      <c r="CI16" s="176"/>
      <c r="CJ16" s="176"/>
      <c r="CK16" s="176"/>
      <c r="CL16" s="176"/>
      <c r="CM16" s="287"/>
      <c r="CN16" s="287"/>
      <c r="CO16" s="287"/>
      <c r="CP16" s="287"/>
      <c r="CQ16" s="287"/>
      <c r="CR16" s="276"/>
      <c r="CS16" s="276"/>
      <c r="CT16" s="276"/>
      <c r="CU16" s="276"/>
      <c r="CV16" s="276"/>
      <c r="CW16" s="302"/>
      <c r="CX16" s="302"/>
      <c r="CY16" s="302"/>
      <c r="CZ16" s="302"/>
      <c r="DA16" s="312"/>
      <c r="DB16" s="312"/>
      <c r="DC16" s="312"/>
      <c r="DD16" s="312"/>
      <c r="DE16" s="322"/>
      <c r="DF16" s="322"/>
      <c r="DG16" s="322"/>
      <c r="DH16" s="322"/>
      <c r="DI16" s="322"/>
      <c r="DJ16" s="775"/>
      <c r="DK16" s="775"/>
      <c r="DL16" s="775"/>
      <c r="DM16" s="775"/>
      <c r="DN16" s="789"/>
      <c r="DO16" s="789"/>
      <c r="DP16" s="789"/>
      <c r="DQ16" s="789"/>
      <c r="DR16" s="507"/>
      <c r="DS16" s="507"/>
      <c r="DT16" s="507"/>
      <c r="DU16" s="832"/>
      <c r="DV16" s="507"/>
      <c r="DW16" s="507"/>
      <c r="DX16" s="507"/>
      <c r="DY16" s="507"/>
      <c r="DZ16" s="507"/>
      <c r="EA16" s="507"/>
      <c r="EB16" s="10"/>
    </row>
    <row r="17" spans="1:132">
      <c r="A17" s="1" t="s">
        <v>36</v>
      </c>
      <c r="B17" s="16">
        <f>'Teamprofile (8)'!B16</f>
        <v>8</v>
      </c>
      <c r="C17" s="16"/>
      <c r="D17" s="886">
        <v>12</v>
      </c>
      <c r="E17" s="510">
        <f>'Teamprofile (8)'!C16</f>
        <v>11</v>
      </c>
      <c r="F17" s="16"/>
      <c r="G17" s="886">
        <v>6</v>
      </c>
      <c r="H17" s="16">
        <f>'Teamprofile (8)'!D16</f>
        <v>9</v>
      </c>
      <c r="I17" s="16"/>
      <c r="J17" s="886">
        <v>9</v>
      </c>
      <c r="K17" s="16">
        <f>'Teamprofile (8)'!E16</f>
        <v>13</v>
      </c>
      <c r="L17" s="16"/>
      <c r="M17" s="886">
        <v>8</v>
      </c>
      <c r="N17" s="195">
        <v>9</v>
      </c>
      <c r="O17" s="195">
        <v>10</v>
      </c>
      <c r="P17" s="195">
        <v>7</v>
      </c>
      <c r="Q17" s="195">
        <v>12</v>
      </c>
      <c r="R17" s="156">
        <v>11</v>
      </c>
      <c r="S17" s="156">
        <v>7</v>
      </c>
      <c r="T17" s="598">
        <v>9</v>
      </c>
      <c r="U17" s="598">
        <v>8</v>
      </c>
      <c r="V17" s="156">
        <v>5</v>
      </c>
      <c r="W17" s="156">
        <v>1</v>
      </c>
      <c r="X17" s="175">
        <v>8</v>
      </c>
      <c r="Y17" s="175">
        <v>15</v>
      </c>
      <c r="Z17" s="175">
        <v>14</v>
      </c>
      <c r="AA17" s="175">
        <v>12</v>
      </c>
      <c r="AB17" s="282">
        <v>7</v>
      </c>
      <c r="AC17" s="282">
        <v>2</v>
      </c>
      <c r="AD17" s="282">
        <v>4</v>
      </c>
      <c r="AE17" s="282">
        <v>6</v>
      </c>
      <c r="AF17" s="282">
        <v>8</v>
      </c>
      <c r="AG17" s="271">
        <v>11</v>
      </c>
      <c r="AH17" s="271">
        <v>5</v>
      </c>
      <c r="AI17" s="271">
        <v>8</v>
      </c>
      <c r="AJ17" s="271">
        <v>7</v>
      </c>
      <c r="AK17" s="271">
        <v>6</v>
      </c>
      <c r="AL17" s="297">
        <v>7</v>
      </c>
      <c r="AM17" s="297">
        <v>13</v>
      </c>
      <c r="AN17" s="297">
        <v>11</v>
      </c>
      <c r="AO17" s="297">
        <v>10</v>
      </c>
      <c r="AP17" s="307">
        <v>9</v>
      </c>
      <c r="AQ17" s="307">
        <v>10</v>
      </c>
      <c r="AR17" s="307">
        <v>7</v>
      </c>
      <c r="AS17" s="307">
        <v>7</v>
      </c>
      <c r="AT17" s="317">
        <v>6</v>
      </c>
      <c r="AU17" s="317">
        <v>5</v>
      </c>
      <c r="AV17" s="317">
        <v>2</v>
      </c>
      <c r="AW17" s="317">
        <v>5</v>
      </c>
      <c r="AX17" s="317">
        <v>5</v>
      </c>
      <c r="AY17" s="768">
        <v>9</v>
      </c>
      <c r="AZ17" s="768">
        <v>7</v>
      </c>
      <c r="BA17" s="768">
        <v>6</v>
      </c>
      <c r="BB17" s="768">
        <v>7</v>
      </c>
      <c r="BC17" s="782">
        <v>7</v>
      </c>
      <c r="BD17" s="782">
        <v>7</v>
      </c>
      <c r="BE17" s="782">
        <v>5</v>
      </c>
      <c r="BF17" s="782">
        <v>3</v>
      </c>
      <c r="BG17" s="510">
        <v>1</v>
      </c>
      <c r="BH17" s="510">
        <v>0</v>
      </c>
      <c r="BI17" s="510">
        <v>3</v>
      </c>
      <c r="BJ17" s="823">
        <v>1</v>
      </c>
      <c r="BK17" s="510">
        <v>2</v>
      </c>
      <c r="BL17" s="510">
        <v>1</v>
      </c>
      <c r="BM17" s="510">
        <v>0</v>
      </c>
      <c r="BN17" s="510">
        <v>0</v>
      </c>
      <c r="BO17" s="510">
        <v>0</v>
      </c>
      <c r="BP17" s="510">
        <v>0</v>
      </c>
      <c r="BQ17" s="1"/>
      <c r="BT17" s="1"/>
      <c r="BY17" s="194"/>
      <c r="BZ17" s="194"/>
      <c r="CA17" s="194"/>
      <c r="CB17" s="194"/>
      <c r="CC17" s="170"/>
      <c r="CD17" s="170"/>
      <c r="CE17" s="170"/>
      <c r="CF17" s="170"/>
      <c r="CG17" s="170"/>
      <c r="CH17" s="170"/>
      <c r="CI17" s="174"/>
      <c r="CJ17" s="174"/>
      <c r="CK17" s="174"/>
      <c r="CL17" s="174"/>
      <c r="CM17" s="282"/>
      <c r="CN17" s="282"/>
      <c r="CO17" s="282"/>
      <c r="CP17" s="282"/>
      <c r="CQ17" s="282"/>
      <c r="CR17" s="271"/>
      <c r="CS17" s="271"/>
      <c r="CT17" s="271"/>
      <c r="CU17" s="271"/>
      <c r="CV17" s="271"/>
      <c r="CW17" s="297"/>
      <c r="CX17" s="297"/>
      <c r="CY17" s="297"/>
      <c r="CZ17" s="297"/>
      <c r="DA17" s="307"/>
      <c r="DB17" s="307"/>
      <c r="DC17" s="307"/>
      <c r="DD17" s="307"/>
      <c r="DE17" s="317"/>
      <c r="DF17" s="317"/>
      <c r="DG17" s="317"/>
      <c r="DH17" s="317"/>
      <c r="DI17" s="317"/>
      <c r="DJ17" s="768"/>
      <c r="DK17" s="768"/>
      <c r="DL17" s="768"/>
      <c r="DM17" s="768"/>
      <c r="DN17" s="782"/>
      <c r="DO17" s="782"/>
      <c r="DP17" s="782"/>
      <c r="DQ17" s="782"/>
      <c r="DU17" s="840"/>
      <c r="EB17" s="10"/>
    </row>
    <row r="18" spans="1:132">
      <c r="A18" s="25" t="s">
        <v>35</v>
      </c>
      <c r="B18" s="17">
        <f>'Teamprofile (8)'!B17</f>
        <v>6</v>
      </c>
      <c r="C18" s="17"/>
      <c r="D18" s="886">
        <v>7</v>
      </c>
      <c r="E18" s="17">
        <f>'Teamprofile (8)'!C17</f>
        <v>7</v>
      </c>
      <c r="F18" s="17"/>
      <c r="G18" s="891">
        <v>3</v>
      </c>
      <c r="H18" s="19">
        <f>'Teamprofile (8)'!D17</f>
        <v>4</v>
      </c>
      <c r="I18" s="19"/>
      <c r="J18" s="884">
        <v>5</v>
      </c>
      <c r="K18" s="16">
        <f>'Teamprofile (8)'!E17</f>
        <v>10</v>
      </c>
      <c r="L18" s="16"/>
      <c r="M18" s="884">
        <v>8</v>
      </c>
      <c r="N18" s="204">
        <f t="shared" ref="N18:AA18" si="47">N17-N3</f>
        <v>6</v>
      </c>
      <c r="O18" s="204">
        <f t="shared" si="47"/>
        <v>4</v>
      </c>
      <c r="P18" s="205">
        <f t="shared" si="47"/>
        <v>4</v>
      </c>
      <c r="Q18" s="195">
        <f t="shared" si="47"/>
        <v>6</v>
      </c>
      <c r="R18" s="155">
        <f t="shared" si="47"/>
        <v>7</v>
      </c>
      <c r="S18" s="155">
        <f t="shared" si="47"/>
        <v>7</v>
      </c>
      <c r="T18" s="157">
        <f t="shared" ref="T18:U18" si="48">T17-T3</f>
        <v>4</v>
      </c>
      <c r="U18" s="598">
        <f t="shared" si="48"/>
        <v>5</v>
      </c>
      <c r="V18" s="157">
        <f t="shared" si="47"/>
        <v>3</v>
      </c>
      <c r="W18" s="156">
        <f t="shared" si="47"/>
        <v>1</v>
      </c>
      <c r="X18" s="185">
        <f t="shared" si="47"/>
        <v>5</v>
      </c>
      <c r="Y18" s="185">
        <f t="shared" si="47"/>
        <v>11</v>
      </c>
      <c r="Z18" s="186">
        <f t="shared" si="47"/>
        <v>8</v>
      </c>
      <c r="AA18" s="175">
        <f t="shared" si="47"/>
        <v>9</v>
      </c>
      <c r="AB18" s="282">
        <f t="shared" ref="AB18:AF18" si="49">AB17-AB3</f>
        <v>3</v>
      </c>
      <c r="AC18" s="282">
        <f t="shared" si="49"/>
        <v>1</v>
      </c>
      <c r="AD18" s="282">
        <f t="shared" si="49"/>
        <v>1</v>
      </c>
      <c r="AE18" s="282">
        <f t="shared" si="49"/>
        <v>5</v>
      </c>
      <c r="AF18" s="282">
        <f t="shared" si="49"/>
        <v>7</v>
      </c>
      <c r="AG18" s="271">
        <f t="shared" ref="AG18:AO18" si="50">AG17-AG3</f>
        <v>9</v>
      </c>
      <c r="AH18" s="271">
        <f t="shared" si="50"/>
        <v>5</v>
      </c>
      <c r="AI18" s="271">
        <f t="shared" ref="AI18" si="51">AI17-AI3</f>
        <v>8</v>
      </c>
      <c r="AJ18" s="271">
        <f t="shared" si="50"/>
        <v>4</v>
      </c>
      <c r="AK18" s="271">
        <f t="shared" si="50"/>
        <v>2</v>
      </c>
      <c r="AL18" s="297">
        <f t="shared" si="50"/>
        <v>6</v>
      </c>
      <c r="AM18" s="297">
        <f t="shared" si="50"/>
        <v>12</v>
      </c>
      <c r="AN18" s="297">
        <f t="shared" si="50"/>
        <v>7</v>
      </c>
      <c r="AO18" s="297">
        <f t="shared" si="50"/>
        <v>7</v>
      </c>
      <c r="AP18" s="307">
        <f t="shared" ref="AP18:AS18" si="52">AP17-AP3</f>
        <v>8</v>
      </c>
      <c r="AQ18" s="307">
        <f t="shared" si="52"/>
        <v>7</v>
      </c>
      <c r="AR18" s="307">
        <f t="shared" si="52"/>
        <v>5</v>
      </c>
      <c r="AS18" s="307">
        <f t="shared" si="52"/>
        <v>5</v>
      </c>
      <c r="AT18" s="317">
        <f t="shared" ref="AT18:BP18" si="53">AT17-AT3</f>
        <v>4</v>
      </c>
      <c r="AU18" s="317">
        <f t="shared" si="53"/>
        <v>5</v>
      </c>
      <c r="AV18" s="317">
        <f t="shared" si="53"/>
        <v>0</v>
      </c>
      <c r="AW18" s="317">
        <f t="shared" si="53"/>
        <v>3</v>
      </c>
      <c r="AX18" s="317">
        <f t="shared" si="53"/>
        <v>4</v>
      </c>
      <c r="AY18" s="768">
        <f t="shared" si="53"/>
        <v>6</v>
      </c>
      <c r="AZ18" s="768">
        <f t="shared" si="53"/>
        <v>6</v>
      </c>
      <c r="BA18" s="768">
        <f t="shared" si="53"/>
        <v>6</v>
      </c>
      <c r="BB18" s="768">
        <f t="shared" si="53"/>
        <v>4</v>
      </c>
      <c r="BC18" s="782">
        <f t="shared" si="53"/>
        <v>7</v>
      </c>
      <c r="BD18" s="782">
        <f t="shared" si="53"/>
        <v>4</v>
      </c>
      <c r="BE18" s="782">
        <f t="shared" si="53"/>
        <v>4</v>
      </c>
      <c r="BF18" s="782">
        <f t="shared" si="53"/>
        <v>3</v>
      </c>
      <c r="BG18" s="17">
        <f t="shared" si="53"/>
        <v>0</v>
      </c>
      <c r="BH18" s="17">
        <f t="shared" si="53"/>
        <v>0</v>
      </c>
      <c r="BI18" s="19">
        <f t="shared" si="53"/>
        <v>2</v>
      </c>
      <c r="BJ18" s="823">
        <f t="shared" si="53"/>
        <v>0</v>
      </c>
      <c r="BK18" s="17">
        <f t="shared" si="53"/>
        <v>1</v>
      </c>
      <c r="BL18" s="17">
        <f t="shared" si="53"/>
        <v>1</v>
      </c>
      <c r="BM18" s="19">
        <f t="shared" si="53"/>
        <v>0</v>
      </c>
      <c r="BN18" s="510">
        <f t="shared" si="53"/>
        <v>0</v>
      </c>
      <c r="BO18" s="19">
        <f t="shared" si="53"/>
        <v>0</v>
      </c>
      <c r="BP18" s="510">
        <f t="shared" si="53"/>
        <v>0</v>
      </c>
      <c r="BQ18" s="1"/>
      <c r="BT18" s="1"/>
      <c r="BY18" s="194"/>
      <c r="BZ18" s="194"/>
      <c r="CA18" s="194"/>
      <c r="CB18" s="194"/>
      <c r="CC18" s="170"/>
      <c r="CD18" s="170"/>
      <c r="CE18" s="170"/>
      <c r="CF18" s="170"/>
      <c r="CG18" s="170"/>
      <c r="CH18" s="170"/>
      <c r="CI18" s="174"/>
      <c r="CJ18" s="174"/>
      <c r="CK18" s="174"/>
      <c r="CL18" s="174"/>
      <c r="CM18" s="282"/>
      <c r="CN18" s="282"/>
      <c r="CO18" s="282"/>
      <c r="CP18" s="282"/>
      <c r="CQ18" s="282"/>
      <c r="CR18" s="271"/>
      <c r="CS18" s="271"/>
      <c r="CT18" s="271"/>
      <c r="CU18" s="271"/>
      <c r="CV18" s="271"/>
      <c r="CW18" s="297"/>
      <c r="CX18" s="297"/>
      <c r="CY18" s="297"/>
      <c r="CZ18" s="297"/>
      <c r="DA18" s="307"/>
      <c r="DB18" s="307"/>
      <c r="DC18" s="307"/>
      <c r="DD18" s="307"/>
      <c r="DE18" s="317"/>
      <c r="DF18" s="317"/>
      <c r="DG18" s="317"/>
      <c r="DH18" s="317"/>
      <c r="DI18" s="317"/>
      <c r="DJ18" s="768"/>
      <c r="DK18" s="768"/>
      <c r="DL18" s="768"/>
      <c r="DM18" s="768"/>
      <c r="DN18" s="782"/>
      <c r="DO18" s="782"/>
      <c r="DP18" s="782"/>
      <c r="DQ18" s="782"/>
      <c r="DU18" s="840"/>
      <c r="EB18" s="10"/>
    </row>
    <row r="19" spans="1:132" s="6" customFormat="1" ht="15.75">
      <c r="A19" s="24" t="s">
        <v>34</v>
      </c>
      <c r="B19" s="882">
        <f>'Teamprofile (8)'!B18</f>
        <v>0.25</v>
      </c>
      <c r="C19" s="509">
        <f>(B19/D19)-1</f>
        <v>-0.4</v>
      </c>
      <c r="D19" s="890">
        <v>0.41666666666666669</v>
      </c>
      <c r="E19" s="882">
        <f>'Teamprofile (8)'!C18</f>
        <v>0.36363636363636365</v>
      </c>
      <c r="F19" s="509">
        <f>(E19/G19)-1</f>
        <v>-0.27272727272727271</v>
      </c>
      <c r="G19" s="890">
        <v>0.5</v>
      </c>
      <c r="H19" s="226">
        <f>'Teamprofile (8)'!D18</f>
        <v>0.55555555555555558</v>
      </c>
      <c r="I19" s="14">
        <f>(H19/J19)-1</f>
        <v>0.25000000000000022</v>
      </c>
      <c r="J19" s="885">
        <v>0.44444444444444442</v>
      </c>
      <c r="K19" s="333">
        <f>'Teamprofile (8)'!E18</f>
        <v>0.23076923076923078</v>
      </c>
      <c r="L19" s="877"/>
      <c r="M19" s="885">
        <v>0</v>
      </c>
      <c r="N19" s="200">
        <f t="shared" ref="N19:AA19" si="54">N3/N17</f>
        <v>0.33333333333333331</v>
      </c>
      <c r="O19" s="679">
        <f t="shared" si="54"/>
        <v>0.6</v>
      </c>
      <c r="P19" s="348">
        <f t="shared" si="54"/>
        <v>0.42857142857142855</v>
      </c>
      <c r="Q19" s="200">
        <f t="shared" si="54"/>
        <v>0.5</v>
      </c>
      <c r="R19" s="168">
        <f t="shared" si="54"/>
        <v>0.36363636363636365</v>
      </c>
      <c r="S19" s="599">
        <f t="shared" si="54"/>
        <v>0</v>
      </c>
      <c r="T19" s="718">
        <f t="shared" ref="T19:U19" si="55">T3/T17</f>
        <v>0.55555555555555558</v>
      </c>
      <c r="U19" s="172">
        <f t="shared" si="55"/>
        <v>0.375</v>
      </c>
      <c r="V19" s="171">
        <f t="shared" si="54"/>
        <v>0.4</v>
      </c>
      <c r="W19" s="172">
        <f t="shared" si="54"/>
        <v>0</v>
      </c>
      <c r="X19" s="179">
        <f t="shared" si="54"/>
        <v>0.375</v>
      </c>
      <c r="Y19" s="179">
        <f t="shared" si="54"/>
        <v>0.26666666666666666</v>
      </c>
      <c r="Z19" s="394">
        <f t="shared" si="54"/>
        <v>0.42857142857142855</v>
      </c>
      <c r="AA19" s="181">
        <f t="shared" si="54"/>
        <v>0.25</v>
      </c>
      <c r="AB19" s="356">
        <f t="shared" ref="AB19:AF19" si="56">AB3/AB17</f>
        <v>0.5714285714285714</v>
      </c>
      <c r="AC19" s="356">
        <f t="shared" si="56"/>
        <v>0.5</v>
      </c>
      <c r="AD19" s="683">
        <f t="shared" si="56"/>
        <v>0.75</v>
      </c>
      <c r="AE19" s="356">
        <f t="shared" si="56"/>
        <v>0.16666666666666666</v>
      </c>
      <c r="AF19" s="356">
        <f t="shared" si="56"/>
        <v>0.125</v>
      </c>
      <c r="AG19" s="357">
        <f t="shared" ref="AG19:AO19" si="57">AG3/AG17</f>
        <v>0.18181818181818182</v>
      </c>
      <c r="AH19" s="357">
        <f t="shared" si="57"/>
        <v>0</v>
      </c>
      <c r="AI19" s="357">
        <f t="shared" ref="AI19" si="58">AI3/AI17</f>
        <v>0</v>
      </c>
      <c r="AJ19" s="597">
        <f t="shared" si="57"/>
        <v>0.42857142857142855</v>
      </c>
      <c r="AK19" s="357">
        <f t="shared" si="57"/>
        <v>0.66666666666666663</v>
      </c>
      <c r="AL19" s="358">
        <f t="shared" si="57"/>
        <v>0.14285714285714285</v>
      </c>
      <c r="AM19" s="358">
        <f t="shared" si="57"/>
        <v>7.6923076923076927E-2</v>
      </c>
      <c r="AN19" s="747">
        <f t="shared" si="57"/>
        <v>0.36363636363636365</v>
      </c>
      <c r="AO19" s="358">
        <f t="shared" si="57"/>
        <v>0.3</v>
      </c>
      <c r="AP19" s="360">
        <f t="shared" ref="AP19:AS19" si="59">AP3/AP17</f>
        <v>0.1111111111111111</v>
      </c>
      <c r="AQ19" s="395">
        <f t="shared" si="59"/>
        <v>0.3</v>
      </c>
      <c r="AR19" s="360">
        <f t="shared" si="59"/>
        <v>0.2857142857142857</v>
      </c>
      <c r="AS19" s="360">
        <f t="shared" si="59"/>
        <v>0.2857142857142857</v>
      </c>
      <c r="AT19" s="359">
        <f t="shared" ref="AT19:BL19" si="60">AT3/AT17</f>
        <v>0.33333333333333331</v>
      </c>
      <c r="AU19" s="359">
        <f t="shared" si="60"/>
        <v>0</v>
      </c>
      <c r="AV19" s="739">
        <f t="shared" si="60"/>
        <v>1</v>
      </c>
      <c r="AW19" s="359">
        <f t="shared" si="60"/>
        <v>0.4</v>
      </c>
      <c r="AX19" s="359">
        <f t="shared" si="60"/>
        <v>0.2</v>
      </c>
      <c r="AY19" s="734">
        <f t="shared" si="60"/>
        <v>0.33333333333333331</v>
      </c>
      <c r="AZ19" s="734">
        <f t="shared" si="60"/>
        <v>0.14285714285714285</v>
      </c>
      <c r="BA19" s="734">
        <f t="shared" si="60"/>
        <v>0</v>
      </c>
      <c r="BB19" s="738">
        <f t="shared" si="60"/>
        <v>0.42857142857142855</v>
      </c>
      <c r="BC19" s="736">
        <f t="shared" si="60"/>
        <v>0</v>
      </c>
      <c r="BD19" s="745">
        <f t="shared" si="60"/>
        <v>0.42857142857142855</v>
      </c>
      <c r="BE19" s="736">
        <f t="shared" si="60"/>
        <v>0.2</v>
      </c>
      <c r="BF19" s="736">
        <f t="shared" si="60"/>
        <v>0</v>
      </c>
      <c r="BG19" s="846">
        <f t="shared" si="60"/>
        <v>1</v>
      </c>
      <c r="BH19" s="578">
        <v>0</v>
      </c>
      <c r="BI19" s="578">
        <f t="shared" si="60"/>
        <v>0.33333333333333331</v>
      </c>
      <c r="BJ19" s="824">
        <f t="shared" si="60"/>
        <v>1</v>
      </c>
      <c r="BK19" s="752">
        <f t="shared" si="60"/>
        <v>0.5</v>
      </c>
      <c r="BL19" s="578">
        <f t="shared" si="60"/>
        <v>0</v>
      </c>
      <c r="BM19" s="578">
        <v>0</v>
      </c>
      <c r="BN19" s="579">
        <v>0</v>
      </c>
      <c r="BO19" s="578">
        <v>0</v>
      </c>
      <c r="BP19" s="579">
        <v>0</v>
      </c>
      <c r="BQ19" s="31"/>
      <c r="BR19" s="361">
        <f>MAX(N19:BP19,K19,H19,E19,B19)</f>
        <v>1</v>
      </c>
      <c r="BS19" s="361">
        <f>MIN(N19:BP19,K19,H19,E19,B19)</f>
        <v>0</v>
      </c>
      <c r="BT19" s="31"/>
      <c r="BU19" s="9">
        <f>B19/$BR19</f>
        <v>0.25</v>
      </c>
      <c r="BV19" s="332">
        <f>E19/$BR19</f>
        <v>0.36363636363636365</v>
      </c>
      <c r="BW19" s="387">
        <f>H19/$BR19</f>
        <v>0.55555555555555558</v>
      </c>
      <c r="BX19" s="9">
        <f>K19/$BR19</f>
        <v>0.23076923076923078</v>
      </c>
      <c r="BY19" s="199">
        <f t="shared" ref="BY19:DD19" si="61">N19/$BR19</f>
        <v>0.33333333333333331</v>
      </c>
      <c r="BZ19" s="355">
        <f t="shared" si="61"/>
        <v>0.6</v>
      </c>
      <c r="CA19" s="199">
        <f t="shared" si="61"/>
        <v>0.42857142857142855</v>
      </c>
      <c r="CB19" s="332">
        <f t="shared" si="61"/>
        <v>0.5</v>
      </c>
      <c r="CC19" s="168">
        <f t="shared" si="61"/>
        <v>0.36363636363636365</v>
      </c>
      <c r="CD19" s="168">
        <f t="shared" si="61"/>
        <v>0</v>
      </c>
      <c r="CE19" s="355">
        <f t="shared" si="61"/>
        <v>0.55555555555555558</v>
      </c>
      <c r="CF19" s="168">
        <f t="shared" si="61"/>
        <v>0.375</v>
      </c>
      <c r="CG19" s="227">
        <f t="shared" si="61"/>
        <v>0.4</v>
      </c>
      <c r="CH19" s="168">
        <f t="shared" si="61"/>
        <v>0</v>
      </c>
      <c r="CI19" s="227">
        <f t="shared" si="61"/>
        <v>0.375</v>
      </c>
      <c r="CJ19" s="180">
        <f t="shared" si="61"/>
        <v>0.26666666666666666</v>
      </c>
      <c r="CK19" s="355">
        <f t="shared" si="61"/>
        <v>0.42857142857142855</v>
      </c>
      <c r="CL19" s="180">
        <f t="shared" si="61"/>
        <v>0.25</v>
      </c>
      <c r="CM19" s="227">
        <f t="shared" si="61"/>
        <v>0.5714285714285714</v>
      </c>
      <c r="CN19" s="356">
        <f t="shared" si="61"/>
        <v>0.5</v>
      </c>
      <c r="CO19" s="355">
        <f t="shared" si="61"/>
        <v>0.75</v>
      </c>
      <c r="CP19" s="356">
        <f t="shared" si="61"/>
        <v>0.16666666666666666</v>
      </c>
      <c r="CQ19" s="356">
        <f t="shared" si="61"/>
        <v>0.125</v>
      </c>
      <c r="CR19" s="357">
        <f t="shared" si="61"/>
        <v>0.18181818181818182</v>
      </c>
      <c r="CS19" s="357">
        <f t="shared" si="61"/>
        <v>0</v>
      </c>
      <c r="CT19" s="357">
        <f t="shared" si="61"/>
        <v>0</v>
      </c>
      <c r="CU19" s="227">
        <f t="shared" si="61"/>
        <v>0.42857142857142855</v>
      </c>
      <c r="CV19" s="355">
        <f t="shared" si="61"/>
        <v>0.66666666666666663</v>
      </c>
      <c r="CW19" s="358">
        <f t="shared" si="61"/>
        <v>0.14285714285714285</v>
      </c>
      <c r="CX19" s="358">
        <f t="shared" si="61"/>
        <v>7.6923076923076927E-2</v>
      </c>
      <c r="CY19" s="355">
        <f t="shared" si="61"/>
        <v>0.36363636363636365</v>
      </c>
      <c r="CZ19" s="227">
        <f t="shared" si="61"/>
        <v>0.3</v>
      </c>
      <c r="DA19" s="393">
        <f t="shared" si="61"/>
        <v>0.1111111111111111</v>
      </c>
      <c r="DB19" s="355">
        <f t="shared" si="61"/>
        <v>0.3</v>
      </c>
      <c r="DC19" s="227">
        <f t="shared" si="61"/>
        <v>0.2857142857142857</v>
      </c>
      <c r="DD19" s="227">
        <f t="shared" si="61"/>
        <v>0.2857142857142857</v>
      </c>
      <c r="DE19" s="359">
        <f t="shared" ref="DE19:EA19" si="62">AT19/$BR19</f>
        <v>0.33333333333333331</v>
      </c>
      <c r="DF19" s="359">
        <f t="shared" si="62"/>
        <v>0</v>
      </c>
      <c r="DG19" s="759">
        <f t="shared" si="62"/>
        <v>1</v>
      </c>
      <c r="DH19" s="227">
        <f t="shared" si="62"/>
        <v>0.4</v>
      </c>
      <c r="DI19" s="359">
        <f t="shared" si="62"/>
        <v>0.2</v>
      </c>
      <c r="DJ19" s="227">
        <f t="shared" si="62"/>
        <v>0.33333333333333331</v>
      </c>
      <c r="DK19" s="734">
        <f t="shared" si="62"/>
        <v>0.14285714285714285</v>
      </c>
      <c r="DL19" s="734">
        <f t="shared" si="62"/>
        <v>0</v>
      </c>
      <c r="DM19" s="226">
        <f t="shared" si="62"/>
        <v>0.42857142857142855</v>
      </c>
      <c r="DN19" s="736">
        <f t="shared" si="62"/>
        <v>0</v>
      </c>
      <c r="DO19" s="226">
        <f t="shared" si="62"/>
        <v>0.42857142857142855</v>
      </c>
      <c r="DP19" s="227">
        <f t="shared" si="62"/>
        <v>0.2</v>
      </c>
      <c r="DQ19" s="736">
        <f t="shared" si="62"/>
        <v>0</v>
      </c>
      <c r="DR19" s="850">
        <f t="shared" si="62"/>
        <v>1</v>
      </c>
      <c r="DS19" s="843">
        <f t="shared" si="62"/>
        <v>0</v>
      </c>
      <c r="DT19" s="227">
        <f t="shared" si="62"/>
        <v>0.33333333333333331</v>
      </c>
      <c r="DU19" s="851">
        <f t="shared" si="62"/>
        <v>1</v>
      </c>
      <c r="DV19" s="226">
        <f t="shared" si="62"/>
        <v>0.5</v>
      </c>
      <c r="DW19" s="505">
        <f t="shared" si="62"/>
        <v>0</v>
      </c>
      <c r="DX19" s="843">
        <f t="shared" si="62"/>
        <v>0</v>
      </c>
      <c r="DY19" s="505">
        <f t="shared" si="62"/>
        <v>0</v>
      </c>
      <c r="DZ19" s="844">
        <f t="shared" si="62"/>
        <v>0</v>
      </c>
      <c r="EA19" s="505">
        <f t="shared" si="62"/>
        <v>0</v>
      </c>
      <c r="EB19" s="8"/>
    </row>
    <row r="20" spans="1:132">
      <c r="A20" s="1" t="s">
        <v>33</v>
      </c>
      <c r="B20" s="17">
        <f>'Teamprofile (8)'!B19</f>
        <v>1</v>
      </c>
      <c r="C20" s="17"/>
      <c r="D20" s="886">
        <v>2</v>
      </c>
      <c r="E20" s="17">
        <f>'Teamprofile (8)'!C19</f>
        <v>1</v>
      </c>
      <c r="F20" s="17"/>
      <c r="G20" s="884">
        <v>2</v>
      </c>
      <c r="H20" s="17">
        <f>'Teamprofile (8)'!D19</f>
        <v>2</v>
      </c>
      <c r="I20" s="17"/>
      <c r="J20" s="884">
        <v>2</v>
      </c>
      <c r="K20" s="16">
        <f>'Teamprofile (8)'!E19</f>
        <v>1</v>
      </c>
      <c r="L20" s="16"/>
      <c r="M20" s="884">
        <v>1</v>
      </c>
      <c r="N20" s="204">
        <v>1</v>
      </c>
      <c r="O20" s="204">
        <v>1</v>
      </c>
      <c r="P20" s="204">
        <v>1</v>
      </c>
      <c r="Q20" s="195">
        <v>1</v>
      </c>
      <c r="R20" s="155">
        <v>2</v>
      </c>
      <c r="S20" s="155">
        <v>1</v>
      </c>
      <c r="T20" s="155">
        <v>1</v>
      </c>
      <c r="U20" s="598">
        <v>1</v>
      </c>
      <c r="V20" s="155">
        <v>1</v>
      </c>
      <c r="W20" s="156">
        <v>1</v>
      </c>
      <c r="X20" s="185">
        <v>2</v>
      </c>
      <c r="Y20" s="185">
        <v>2</v>
      </c>
      <c r="Z20" s="185">
        <v>2</v>
      </c>
      <c r="AA20" s="175">
        <v>2</v>
      </c>
      <c r="AB20" s="282">
        <v>1</v>
      </c>
      <c r="AC20" s="282">
        <v>2</v>
      </c>
      <c r="AD20" s="282">
        <v>1</v>
      </c>
      <c r="AE20" s="282">
        <v>2</v>
      </c>
      <c r="AF20" s="282">
        <v>2</v>
      </c>
      <c r="AG20" s="271">
        <v>3</v>
      </c>
      <c r="AH20" s="271">
        <v>2</v>
      </c>
      <c r="AI20" s="271">
        <v>3</v>
      </c>
      <c r="AJ20" s="271">
        <v>2</v>
      </c>
      <c r="AK20" s="271">
        <v>1</v>
      </c>
      <c r="AL20" s="297">
        <v>2</v>
      </c>
      <c r="AM20" s="297">
        <v>3</v>
      </c>
      <c r="AN20" s="297">
        <v>2</v>
      </c>
      <c r="AO20" s="297">
        <v>2</v>
      </c>
      <c r="AP20" s="307">
        <v>2</v>
      </c>
      <c r="AQ20" s="307">
        <v>2</v>
      </c>
      <c r="AR20" s="307">
        <v>1</v>
      </c>
      <c r="AS20" s="307">
        <v>2</v>
      </c>
      <c r="AT20" s="317">
        <v>2</v>
      </c>
      <c r="AU20" s="317">
        <v>1</v>
      </c>
      <c r="AV20" s="317">
        <v>1</v>
      </c>
      <c r="AW20" s="317">
        <v>1</v>
      </c>
      <c r="AX20" s="317">
        <v>2</v>
      </c>
      <c r="AY20" s="768">
        <v>1</v>
      </c>
      <c r="AZ20" s="768">
        <v>2</v>
      </c>
      <c r="BA20" s="768">
        <v>2</v>
      </c>
      <c r="BB20" s="768">
        <v>2</v>
      </c>
      <c r="BC20" s="782">
        <v>1</v>
      </c>
      <c r="BD20" s="782">
        <v>2</v>
      </c>
      <c r="BE20" s="782">
        <v>2</v>
      </c>
      <c r="BF20" s="782">
        <v>2</v>
      </c>
      <c r="BG20" s="17">
        <v>1</v>
      </c>
      <c r="BH20" s="17">
        <v>0</v>
      </c>
      <c r="BI20" s="17">
        <v>1</v>
      </c>
      <c r="BJ20" s="823">
        <v>1</v>
      </c>
      <c r="BK20" s="17">
        <v>1</v>
      </c>
      <c r="BL20" s="17">
        <v>1</v>
      </c>
      <c r="BM20" s="17">
        <v>0</v>
      </c>
      <c r="BN20" s="510">
        <v>0</v>
      </c>
      <c r="BO20" s="17">
        <v>0</v>
      </c>
      <c r="BP20" s="510">
        <v>0</v>
      </c>
      <c r="BQ20" s="1"/>
      <c r="BT20" s="1"/>
      <c r="BY20" s="194"/>
      <c r="BZ20" s="194"/>
      <c r="CA20" s="194"/>
      <c r="CB20" s="194"/>
      <c r="CC20" s="170"/>
      <c r="CD20" s="170"/>
      <c r="CE20" s="170"/>
      <c r="CF20" s="170"/>
      <c r="CG20" s="170"/>
      <c r="CH20" s="170"/>
      <c r="CI20" s="174"/>
      <c r="CJ20" s="174"/>
      <c r="CK20" s="174"/>
      <c r="CL20" s="174"/>
      <c r="CM20" s="282"/>
      <c r="CN20" s="282"/>
      <c r="CO20" s="282"/>
      <c r="CP20" s="282"/>
      <c r="CQ20" s="282"/>
      <c r="CR20" s="271"/>
      <c r="CS20" s="271"/>
      <c r="CT20" s="271"/>
      <c r="CU20" s="271"/>
      <c r="CV20" s="271"/>
      <c r="CW20" s="297"/>
      <c r="CX20" s="297"/>
      <c r="CY20" s="297"/>
      <c r="CZ20" s="297"/>
      <c r="DA20" s="307"/>
      <c r="DB20" s="307"/>
      <c r="DC20" s="307"/>
      <c r="DD20" s="307"/>
      <c r="DE20" s="317"/>
      <c r="DF20" s="317"/>
      <c r="DG20" s="317"/>
      <c r="DH20" s="317"/>
      <c r="DI20" s="317"/>
      <c r="DJ20" s="768"/>
      <c r="DK20" s="768"/>
      <c r="DL20" s="768"/>
      <c r="DM20" s="768"/>
      <c r="DN20" s="782"/>
      <c r="DO20" s="782"/>
      <c r="DP20" s="782"/>
      <c r="DQ20" s="782"/>
      <c r="DU20" s="840"/>
      <c r="EB20" s="10"/>
    </row>
    <row r="21" spans="1:132">
      <c r="A21" s="25" t="s">
        <v>32</v>
      </c>
      <c r="B21" s="881">
        <f>'Teamprofile (8)'!B20</f>
        <v>0.32</v>
      </c>
      <c r="C21" s="509">
        <f>(B21/D21)-1</f>
        <v>-0.46666666666666667</v>
      </c>
      <c r="D21" s="907">
        <v>0.6</v>
      </c>
      <c r="E21" s="881">
        <f>'Teamprofile (8)'!C20</f>
        <v>0.44</v>
      </c>
      <c r="F21" s="509">
        <f>(E21/G21)-1</f>
        <v>-4.6666666666666745E-2</v>
      </c>
      <c r="G21" s="907">
        <v>0.46153846153846156</v>
      </c>
      <c r="H21" s="881">
        <f>'Teamprofile (8)'!D20</f>
        <v>0.36</v>
      </c>
      <c r="I21" s="509">
        <f>(H21/J21)-1</f>
        <v>-0.16000000000000003</v>
      </c>
      <c r="J21" s="907">
        <v>0.42857142857142855</v>
      </c>
      <c r="K21" s="881">
        <f>'Teamprofile (8)'!E20</f>
        <v>0.52</v>
      </c>
      <c r="L21" s="509">
        <f>(K21/M21)-1</f>
        <v>-0.21999999999999997</v>
      </c>
      <c r="M21" s="907">
        <v>0.66666666666666663</v>
      </c>
      <c r="N21" s="211">
        <f t="shared" ref="N21:AA21" si="63">N17/N2</f>
        <v>0.36</v>
      </c>
      <c r="O21" s="211">
        <f t="shared" si="63"/>
        <v>0.4</v>
      </c>
      <c r="P21" s="211">
        <f t="shared" si="63"/>
        <v>0.28000000000000003</v>
      </c>
      <c r="Q21" s="207">
        <f t="shared" si="63"/>
        <v>0.48</v>
      </c>
      <c r="R21" s="167">
        <f t="shared" si="63"/>
        <v>0.44</v>
      </c>
      <c r="S21" s="167">
        <f t="shared" si="63"/>
        <v>0.36842105263157893</v>
      </c>
      <c r="T21" s="167">
        <f t="shared" ref="T21:U21" si="64">T17/T2</f>
        <v>0.52941176470588236</v>
      </c>
      <c r="U21" s="163">
        <f t="shared" si="64"/>
        <v>0.36363636363636365</v>
      </c>
      <c r="V21" s="167">
        <f t="shared" si="63"/>
        <v>0.41666666666666669</v>
      </c>
      <c r="W21" s="163">
        <f t="shared" si="63"/>
        <v>0.2</v>
      </c>
      <c r="X21" s="191">
        <f t="shared" si="63"/>
        <v>0.29629629629629628</v>
      </c>
      <c r="Y21" s="191">
        <f t="shared" si="63"/>
        <v>0.55555555555555558</v>
      </c>
      <c r="Z21" s="191">
        <f t="shared" si="63"/>
        <v>0.51851851851851849</v>
      </c>
      <c r="AA21" s="187">
        <f t="shared" si="63"/>
        <v>0.44444444444444442</v>
      </c>
      <c r="AB21" s="284">
        <f t="shared" ref="AB21:AF21" si="65">AB17/AB2</f>
        <v>0.41176470588235292</v>
      </c>
      <c r="AC21" s="284">
        <f t="shared" si="65"/>
        <v>0.33333333333333331</v>
      </c>
      <c r="AD21" s="284">
        <f t="shared" si="65"/>
        <v>0.36363636363636365</v>
      </c>
      <c r="AE21" s="284">
        <f t="shared" si="65"/>
        <v>0.35294117647058826</v>
      </c>
      <c r="AF21" s="284">
        <f t="shared" si="65"/>
        <v>0.47058823529411764</v>
      </c>
      <c r="AG21" s="273">
        <f t="shared" ref="AG21:AO21" si="66">AG17/AG2</f>
        <v>0.73333333333333328</v>
      </c>
      <c r="AH21" s="273">
        <f t="shared" si="66"/>
        <v>0.38461538461538464</v>
      </c>
      <c r="AI21" s="273">
        <f t="shared" ref="AI21" si="67">AI17/AI2</f>
        <v>0.5</v>
      </c>
      <c r="AJ21" s="273">
        <f t="shared" si="66"/>
        <v>0.4375</v>
      </c>
      <c r="AK21" s="273">
        <f t="shared" si="66"/>
        <v>0.5</v>
      </c>
      <c r="AL21" s="299">
        <f t="shared" si="66"/>
        <v>0.41176470588235292</v>
      </c>
      <c r="AM21" s="299">
        <f t="shared" si="66"/>
        <v>0.76470588235294112</v>
      </c>
      <c r="AN21" s="299">
        <f t="shared" si="66"/>
        <v>0.6470588235294118</v>
      </c>
      <c r="AO21" s="299">
        <f t="shared" si="66"/>
        <v>0.58823529411764708</v>
      </c>
      <c r="AP21" s="309">
        <f t="shared" ref="AP21:AS21" si="68">AP17/AP2</f>
        <v>0.52941176470588236</v>
      </c>
      <c r="AQ21" s="309">
        <f t="shared" si="68"/>
        <v>0.58823529411764708</v>
      </c>
      <c r="AR21" s="309">
        <f t="shared" si="68"/>
        <v>0.41176470588235292</v>
      </c>
      <c r="AS21" s="309">
        <f t="shared" si="68"/>
        <v>0.41176470588235292</v>
      </c>
      <c r="AT21" s="319">
        <f t="shared" ref="AT21:BP21" si="69">AT17/AT2</f>
        <v>0.5</v>
      </c>
      <c r="AU21" s="319">
        <f t="shared" si="69"/>
        <v>0.41666666666666669</v>
      </c>
      <c r="AV21" s="319">
        <f t="shared" si="69"/>
        <v>0.25</v>
      </c>
      <c r="AW21" s="319">
        <f t="shared" si="69"/>
        <v>0.41666666666666669</v>
      </c>
      <c r="AX21" s="319">
        <f t="shared" si="69"/>
        <v>0.41666666666666669</v>
      </c>
      <c r="AY21" s="776">
        <f t="shared" si="69"/>
        <v>0.6</v>
      </c>
      <c r="AZ21" s="776">
        <f t="shared" si="69"/>
        <v>0.46666666666666667</v>
      </c>
      <c r="BA21" s="776">
        <f t="shared" si="69"/>
        <v>0.4</v>
      </c>
      <c r="BB21" s="776">
        <f t="shared" si="69"/>
        <v>0.46666666666666667</v>
      </c>
      <c r="BC21" s="790">
        <f t="shared" si="69"/>
        <v>0.5</v>
      </c>
      <c r="BD21" s="790">
        <f t="shared" si="69"/>
        <v>0.5</v>
      </c>
      <c r="BE21" s="790">
        <f t="shared" si="69"/>
        <v>0.35714285714285715</v>
      </c>
      <c r="BF21" s="790">
        <f t="shared" si="69"/>
        <v>0.21428571428571427</v>
      </c>
      <c r="BG21" s="513">
        <f t="shared" si="69"/>
        <v>6.25E-2</v>
      </c>
      <c r="BH21" s="513">
        <f t="shared" si="69"/>
        <v>0</v>
      </c>
      <c r="BI21" s="513">
        <f t="shared" si="69"/>
        <v>0.1875</v>
      </c>
      <c r="BJ21" s="833">
        <f t="shared" si="69"/>
        <v>6.25E-2</v>
      </c>
      <c r="BK21" s="513">
        <f t="shared" si="69"/>
        <v>0.2</v>
      </c>
      <c r="BL21" s="513">
        <f t="shared" si="69"/>
        <v>0.16666666666666666</v>
      </c>
      <c r="BM21" s="513">
        <f t="shared" si="69"/>
        <v>0</v>
      </c>
      <c r="BN21" s="508">
        <f t="shared" si="69"/>
        <v>0</v>
      </c>
      <c r="BO21" s="513">
        <f t="shared" si="69"/>
        <v>0</v>
      </c>
      <c r="BP21" s="508">
        <f t="shared" si="69"/>
        <v>0</v>
      </c>
      <c r="BQ21" s="1"/>
      <c r="BT21" s="1"/>
      <c r="BY21" s="194"/>
      <c r="BZ21" s="194"/>
      <c r="CA21" s="194"/>
      <c r="CB21" s="194"/>
      <c r="CC21" s="170"/>
      <c r="CD21" s="170"/>
      <c r="CE21" s="170"/>
      <c r="CF21" s="170"/>
      <c r="CG21" s="170"/>
      <c r="CH21" s="170"/>
      <c r="CI21" s="174"/>
      <c r="CJ21" s="174"/>
      <c r="CK21" s="174"/>
      <c r="CL21" s="174"/>
      <c r="CM21" s="284"/>
      <c r="CN21" s="284"/>
      <c r="CO21" s="284"/>
      <c r="CP21" s="284"/>
      <c r="CQ21" s="284"/>
      <c r="CR21" s="273"/>
      <c r="CS21" s="273"/>
      <c r="CT21" s="273"/>
      <c r="CU21" s="273"/>
      <c r="CV21" s="273"/>
      <c r="CW21" s="299"/>
      <c r="CX21" s="299"/>
      <c r="CY21" s="299"/>
      <c r="CZ21" s="299"/>
      <c r="DA21" s="309"/>
      <c r="DB21" s="309"/>
      <c r="DC21" s="309"/>
      <c r="DD21" s="309"/>
      <c r="DE21" s="319"/>
      <c r="DF21" s="319"/>
      <c r="DG21" s="319"/>
      <c r="DH21" s="319"/>
      <c r="DI21" s="319"/>
      <c r="DJ21" s="776"/>
      <c r="DK21" s="776"/>
      <c r="DL21" s="776"/>
      <c r="DM21" s="776"/>
      <c r="DN21" s="790"/>
      <c r="DO21" s="790"/>
      <c r="DP21" s="790"/>
      <c r="DQ21" s="790"/>
      <c r="DU21" s="840"/>
      <c r="EB21" s="10"/>
    </row>
    <row r="22" spans="1:132" s="2" customFormat="1" ht="6" customHeight="1">
      <c r="B22" s="10"/>
      <c r="C22" s="10"/>
      <c r="D22" s="887"/>
      <c r="E22" s="10"/>
      <c r="F22" s="10"/>
      <c r="G22" s="887"/>
      <c r="H22" s="10"/>
      <c r="I22" s="10"/>
      <c r="J22" s="887"/>
      <c r="K22" s="10"/>
      <c r="L22" s="10"/>
      <c r="M22" s="887"/>
      <c r="N22" s="10"/>
      <c r="O22" s="10"/>
      <c r="P22" s="10"/>
      <c r="Q22" s="10"/>
      <c r="R22" s="10"/>
      <c r="S22" s="10"/>
      <c r="T22" s="506"/>
      <c r="U22" s="506"/>
      <c r="V22" s="10"/>
      <c r="W22" s="10"/>
      <c r="X22" s="10"/>
      <c r="Y22" s="10"/>
      <c r="Z22" s="10"/>
      <c r="AA22" s="10"/>
      <c r="AB22" s="10"/>
      <c r="AC22" s="506"/>
      <c r="AD22" s="506"/>
      <c r="AE22" s="506"/>
      <c r="AF22" s="506"/>
      <c r="AG22" s="506"/>
      <c r="AH22" s="506"/>
      <c r="AI22" s="506"/>
      <c r="AJ22" s="506"/>
      <c r="AK22" s="10"/>
      <c r="AL22" s="506"/>
      <c r="AM22" s="506"/>
      <c r="AN22" s="10"/>
      <c r="AO22" s="10"/>
      <c r="AP22" s="10"/>
      <c r="AQ22" s="10"/>
      <c r="AR22" s="506"/>
      <c r="AS22" s="506"/>
      <c r="AT22" s="10"/>
      <c r="AU22" s="506"/>
      <c r="AV22" s="506"/>
      <c r="AW22" s="506"/>
      <c r="AX22" s="10"/>
      <c r="AY22" s="506"/>
      <c r="AZ22" s="506"/>
      <c r="BA22" s="506"/>
      <c r="BB22" s="506"/>
      <c r="BC22" s="506"/>
      <c r="BD22" s="506"/>
      <c r="BE22" s="506"/>
      <c r="BF22" s="506"/>
      <c r="BG22" s="506"/>
      <c r="BH22" s="506"/>
      <c r="BI22" s="506"/>
      <c r="BJ22" s="827"/>
      <c r="BK22" s="506"/>
      <c r="BL22" s="506"/>
      <c r="BM22" s="506"/>
      <c r="BN22" s="506"/>
      <c r="BO22" s="506"/>
      <c r="BP22" s="506"/>
      <c r="BR22" s="219"/>
      <c r="BS22" s="219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506"/>
      <c r="CF22" s="506"/>
      <c r="CG22" s="10"/>
      <c r="CH22" s="10"/>
      <c r="CI22" s="10"/>
      <c r="CJ22" s="10"/>
      <c r="CK22" s="10"/>
      <c r="CL22" s="10"/>
      <c r="CM22" s="506"/>
      <c r="CN22" s="506"/>
      <c r="CO22" s="506"/>
      <c r="CP22" s="506"/>
      <c r="CQ22" s="10"/>
      <c r="CR22" s="506"/>
      <c r="CS22" s="506"/>
      <c r="CT22" s="506"/>
      <c r="CU22" s="506"/>
      <c r="CV22" s="10"/>
      <c r="CW22" s="506"/>
      <c r="CX22" s="506"/>
      <c r="CY22" s="10"/>
      <c r="CZ22" s="10"/>
      <c r="DA22" s="506"/>
      <c r="DB22" s="506"/>
      <c r="DC22" s="10"/>
      <c r="DD22" s="10"/>
      <c r="DE22" s="506"/>
      <c r="DF22" s="506"/>
      <c r="DG22" s="506"/>
      <c r="DH22" s="10"/>
      <c r="DI22" s="10"/>
      <c r="DJ22" s="506"/>
      <c r="DK22" s="506"/>
      <c r="DL22" s="506"/>
      <c r="DM22" s="506"/>
      <c r="DN22" s="506"/>
      <c r="DO22" s="506"/>
      <c r="DP22" s="506"/>
      <c r="DQ22" s="506"/>
      <c r="DR22" s="506"/>
      <c r="DS22" s="506"/>
      <c r="DT22" s="506"/>
      <c r="DU22" s="827"/>
      <c r="DV22" s="506"/>
      <c r="DW22" s="506"/>
      <c r="DX22" s="506"/>
      <c r="DY22" s="506"/>
      <c r="DZ22" s="506"/>
      <c r="EA22" s="506"/>
      <c r="EB22" s="10"/>
    </row>
    <row r="23" spans="1:132">
      <c r="A23" s="25" t="s">
        <v>31</v>
      </c>
      <c r="B23" s="19">
        <f>'Teamprofile (8)'!B22</f>
        <v>51</v>
      </c>
      <c r="C23" s="19"/>
      <c r="D23" s="886">
        <v>53</v>
      </c>
      <c r="E23" s="19">
        <f>'Teamprofile (8)'!C22</f>
        <v>44</v>
      </c>
      <c r="F23" s="19"/>
      <c r="G23" s="884">
        <v>25</v>
      </c>
      <c r="H23" s="17">
        <f>'Teamprofile (8)'!D22</f>
        <v>49</v>
      </c>
      <c r="I23" s="17"/>
      <c r="J23" s="891">
        <v>50</v>
      </c>
      <c r="K23" s="16">
        <f>'Teamprofile (8)'!E22</f>
        <v>41</v>
      </c>
      <c r="L23" s="16"/>
      <c r="M23" s="891">
        <v>23</v>
      </c>
      <c r="N23" s="205">
        <f>N38-N24</f>
        <v>44</v>
      </c>
      <c r="O23" s="205">
        <f>O38-O24</f>
        <v>43</v>
      </c>
      <c r="P23" s="204">
        <f>P38-P24</f>
        <v>40</v>
      </c>
      <c r="Q23" s="195">
        <f>Q38-Q24</f>
        <v>41</v>
      </c>
      <c r="R23" s="157">
        <f t="shared" ref="R23:AA23" si="70">R38-R24</f>
        <v>52</v>
      </c>
      <c r="S23" s="157">
        <f t="shared" si="70"/>
        <v>30</v>
      </c>
      <c r="T23" s="155">
        <f t="shared" ref="T23:U23" si="71">T38-T24</f>
        <v>29</v>
      </c>
      <c r="U23" s="598">
        <f t="shared" si="71"/>
        <v>29</v>
      </c>
      <c r="V23" s="155">
        <f t="shared" si="70"/>
        <v>22</v>
      </c>
      <c r="W23" s="156">
        <f t="shared" si="70"/>
        <v>9</v>
      </c>
      <c r="X23" s="186">
        <f t="shared" si="70"/>
        <v>53</v>
      </c>
      <c r="Y23" s="186">
        <f t="shared" si="70"/>
        <v>50</v>
      </c>
      <c r="Z23" s="185">
        <f t="shared" si="70"/>
        <v>39</v>
      </c>
      <c r="AA23" s="175">
        <f t="shared" si="70"/>
        <v>30</v>
      </c>
      <c r="AB23" s="282">
        <f t="shared" ref="AB23:AF23" si="72">AB38-AB24</f>
        <v>40</v>
      </c>
      <c r="AC23" s="282">
        <f t="shared" si="72"/>
        <v>8</v>
      </c>
      <c r="AD23" s="282">
        <f t="shared" si="72"/>
        <v>22</v>
      </c>
      <c r="AE23" s="282">
        <f t="shared" si="72"/>
        <v>21</v>
      </c>
      <c r="AF23" s="282">
        <f t="shared" si="72"/>
        <v>23</v>
      </c>
      <c r="AG23" s="271">
        <f t="shared" ref="AG23:AO23" si="73">AG38-AG24</f>
        <v>29</v>
      </c>
      <c r="AH23" s="271">
        <f t="shared" si="73"/>
        <v>21</v>
      </c>
      <c r="AI23" s="271">
        <f t="shared" ref="AI23" si="74">AI38-AI24</f>
        <v>32</v>
      </c>
      <c r="AJ23" s="271">
        <f t="shared" si="73"/>
        <v>38</v>
      </c>
      <c r="AK23" s="271">
        <f t="shared" si="73"/>
        <v>20</v>
      </c>
      <c r="AL23" s="297">
        <f t="shared" si="73"/>
        <v>43</v>
      </c>
      <c r="AM23" s="297">
        <f t="shared" si="73"/>
        <v>30</v>
      </c>
      <c r="AN23" s="297">
        <f t="shared" si="73"/>
        <v>37</v>
      </c>
      <c r="AO23" s="297">
        <f t="shared" si="73"/>
        <v>40</v>
      </c>
      <c r="AP23" s="307">
        <f t="shared" ref="AP23:AS23" si="75">AP38-AP24</f>
        <v>38</v>
      </c>
      <c r="AQ23" s="307">
        <f t="shared" si="75"/>
        <v>26</v>
      </c>
      <c r="AR23" s="307">
        <f t="shared" si="75"/>
        <v>34</v>
      </c>
      <c r="AS23" s="307">
        <f t="shared" si="75"/>
        <v>27</v>
      </c>
      <c r="AT23" s="317">
        <f t="shared" ref="AT23:BF23" si="76">AT38-AT24</f>
        <v>16</v>
      </c>
      <c r="AU23" s="317">
        <f t="shared" si="76"/>
        <v>23</v>
      </c>
      <c r="AV23" s="317">
        <f t="shared" si="76"/>
        <v>12</v>
      </c>
      <c r="AW23" s="317">
        <f t="shared" si="76"/>
        <v>20</v>
      </c>
      <c r="AX23" s="317">
        <f t="shared" si="76"/>
        <v>27</v>
      </c>
      <c r="AY23" s="768">
        <f t="shared" si="76"/>
        <v>27</v>
      </c>
      <c r="AZ23" s="768">
        <f t="shared" si="76"/>
        <v>21</v>
      </c>
      <c r="BA23" s="768">
        <f t="shared" si="76"/>
        <v>26</v>
      </c>
      <c r="BB23" s="768">
        <f t="shared" si="76"/>
        <v>33</v>
      </c>
      <c r="BC23" s="782">
        <f t="shared" si="76"/>
        <v>34</v>
      </c>
      <c r="BD23" s="782">
        <f t="shared" si="76"/>
        <v>30</v>
      </c>
      <c r="BE23" s="782">
        <f t="shared" si="76"/>
        <v>25</v>
      </c>
      <c r="BF23" s="782">
        <f t="shared" si="76"/>
        <v>19</v>
      </c>
      <c r="BG23" s="19">
        <f>BG38-BG24</f>
        <v>27</v>
      </c>
      <c r="BH23" s="19">
        <f>BH38-BH24</f>
        <v>28</v>
      </c>
      <c r="BI23" s="17">
        <f>BI38-BI24</f>
        <v>28</v>
      </c>
      <c r="BJ23" s="823">
        <f>BJ38-BJ24</f>
        <v>22</v>
      </c>
      <c r="BK23" s="19">
        <f t="shared" ref="BK23:BP23" si="77">BK38-BK24</f>
        <v>21</v>
      </c>
      <c r="BL23" s="19">
        <f t="shared" si="77"/>
        <v>10</v>
      </c>
      <c r="BM23" s="17">
        <f t="shared" si="77"/>
        <v>13</v>
      </c>
      <c r="BN23" s="510">
        <f t="shared" si="77"/>
        <v>10</v>
      </c>
      <c r="BO23" s="17">
        <f t="shared" si="77"/>
        <v>12</v>
      </c>
      <c r="BP23" s="510">
        <f t="shared" si="77"/>
        <v>6</v>
      </c>
      <c r="BQ23" s="1"/>
      <c r="BT23" s="1"/>
      <c r="BY23" s="194"/>
      <c r="BZ23" s="194"/>
      <c r="CA23" s="194"/>
      <c r="CB23" s="194"/>
      <c r="CC23" s="170"/>
      <c r="CD23" s="170"/>
      <c r="CE23" s="170"/>
      <c r="CF23" s="170"/>
      <c r="CG23" s="170"/>
      <c r="CH23" s="170"/>
      <c r="CI23" s="174"/>
      <c r="CJ23" s="174"/>
      <c r="CK23" s="174"/>
      <c r="CL23" s="174"/>
      <c r="CM23" s="282"/>
      <c r="CN23" s="282"/>
      <c r="CO23" s="282"/>
      <c r="CP23" s="282"/>
      <c r="CQ23" s="282"/>
      <c r="CR23" s="271"/>
      <c r="CS23" s="271"/>
      <c r="CT23" s="271"/>
      <c r="CU23" s="271"/>
      <c r="CV23" s="271"/>
      <c r="CW23" s="297"/>
      <c r="CX23" s="297"/>
      <c r="CY23" s="297"/>
      <c r="CZ23" s="297"/>
      <c r="DA23" s="307"/>
      <c r="DB23" s="307"/>
      <c r="DC23" s="307"/>
      <c r="DD23" s="307"/>
      <c r="DE23" s="317"/>
      <c r="DF23" s="317"/>
      <c r="DG23" s="317"/>
      <c r="DH23" s="317"/>
      <c r="DI23" s="317"/>
      <c r="DJ23" s="768"/>
      <c r="DK23" s="768"/>
      <c r="DL23" s="768"/>
      <c r="DM23" s="768"/>
      <c r="DN23" s="782"/>
      <c r="DO23" s="782"/>
      <c r="DP23" s="782"/>
      <c r="DQ23" s="782"/>
      <c r="DU23" s="840"/>
      <c r="EB23" s="10"/>
    </row>
    <row r="24" spans="1:132">
      <c r="A24" s="1" t="s">
        <v>30</v>
      </c>
      <c r="B24" s="22">
        <f>'Teamprofile (8)'!B23</f>
        <v>7</v>
      </c>
      <c r="C24" s="22"/>
      <c r="D24" s="905">
        <v>15</v>
      </c>
      <c r="E24" s="22">
        <f>'Teamprofile (8)'!C23</f>
        <v>9</v>
      </c>
      <c r="F24" s="22"/>
      <c r="G24" s="902">
        <v>5</v>
      </c>
      <c r="H24" s="21">
        <f>'Teamprofile (8)'!D23</f>
        <v>10</v>
      </c>
      <c r="I24" s="21"/>
      <c r="J24" s="892">
        <v>8</v>
      </c>
      <c r="K24" s="23">
        <f>'Teamprofile (8)'!E23</f>
        <v>11</v>
      </c>
      <c r="L24" s="23"/>
      <c r="M24" s="892">
        <v>3</v>
      </c>
      <c r="N24" s="208">
        <f>Auswertung!AC62</f>
        <v>4</v>
      </c>
      <c r="O24" s="208">
        <f>Auswertung!AC70</f>
        <v>5</v>
      </c>
      <c r="P24" s="209">
        <f>Auswertung!AC78</f>
        <v>7</v>
      </c>
      <c r="Q24" s="210">
        <f>Auswertung!AC86</f>
        <v>6</v>
      </c>
      <c r="R24" s="164">
        <f>Auswertung!AC102</f>
        <v>8</v>
      </c>
      <c r="S24" s="164">
        <f>Auswertung!AC110</f>
        <v>11</v>
      </c>
      <c r="T24" s="165">
        <f>Auswertung!AC118</f>
        <v>6</v>
      </c>
      <c r="U24" s="166">
        <f>Auswertung!AC126</f>
        <v>4</v>
      </c>
      <c r="V24" s="165">
        <f>Auswertung!AC134</f>
        <v>4</v>
      </c>
      <c r="W24" s="166">
        <f>Auswertung!AC142</f>
        <v>3</v>
      </c>
      <c r="X24" s="188">
        <f>Auswertung!AC158</f>
        <v>7</v>
      </c>
      <c r="Y24" s="188">
        <f>Auswertung!AC166</f>
        <v>7</v>
      </c>
      <c r="Z24" s="189">
        <f>Auswertung!AC174</f>
        <v>11</v>
      </c>
      <c r="AA24" s="190">
        <f>Auswertung!AC182</f>
        <v>12</v>
      </c>
      <c r="AB24" s="285">
        <f>Auswertung!AC198</f>
        <v>5</v>
      </c>
      <c r="AC24" s="285">
        <f>Auswertung!AC206</f>
        <v>4</v>
      </c>
      <c r="AD24" s="285">
        <f>Auswertung!AC214</f>
        <v>1</v>
      </c>
      <c r="AE24" s="285">
        <f>Auswertung!AC222</f>
        <v>9</v>
      </c>
      <c r="AF24" s="285">
        <f>Auswertung!AC230</f>
        <v>5</v>
      </c>
      <c r="AG24" s="274">
        <f>Auswertung!AC246</f>
        <v>12</v>
      </c>
      <c r="AH24" s="274">
        <f>Auswertung!AC254</f>
        <v>8</v>
      </c>
      <c r="AI24" s="274">
        <f>Auswertung!AC262</f>
        <v>8</v>
      </c>
      <c r="AJ24" s="274">
        <f>Auswertung!AC270</f>
        <v>3</v>
      </c>
      <c r="AK24" s="274">
        <f>Auswertung!AC278</f>
        <v>7</v>
      </c>
      <c r="AL24" s="300">
        <f>Auswertung!AC294</f>
        <v>4</v>
      </c>
      <c r="AM24" s="300">
        <f>Auswertung!AC302</f>
        <v>17</v>
      </c>
      <c r="AN24" s="300">
        <f>Auswertung!AC310</f>
        <v>8</v>
      </c>
      <c r="AO24" s="300">
        <f>Auswertung!AC318</f>
        <v>6</v>
      </c>
      <c r="AP24" s="310">
        <f>Auswertung!AC334</f>
        <v>7</v>
      </c>
      <c r="AQ24" s="310">
        <f>Auswertung!AC342</f>
        <v>15</v>
      </c>
      <c r="AR24" s="310">
        <f>Auswertung!AC350</f>
        <v>1</v>
      </c>
      <c r="AS24" s="310">
        <f>Auswertung!AC358</f>
        <v>6</v>
      </c>
      <c r="AT24" s="320">
        <f>Auswertung!AC374</f>
        <v>9</v>
      </c>
      <c r="AU24" s="320">
        <f>Auswertung!AC382</f>
        <v>5</v>
      </c>
      <c r="AV24" s="320">
        <f>Auswertung!AC390</f>
        <v>4</v>
      </c>
      <c r="AW24" s="320">
        <f>Auswertung!AC398</f>
        <v>8</v>
      </c>
      <c r="AX24" s="320">
        <f>Auswertung!AC406</f>
        <v>3</v>
      </c>
      <c r="AY24" s="773">
        <f>Auswertung!AC422</f>
        <v>11</v>
      </c>
      <c r="AZ24" s="773">
        <f>Auswertung!AC430</f>
        <v>13</v>
      </c>
      <c r="BA24" s="773">
        <f>Auswertung!AC438</f>
        <v>10</v>
      </c>
      <c r="BB24" s="773">
        <f>Auswertung!AC446</f>
        <v>4</v>
      </c>
      <c r="BC24" s="787">
        <f>Auswertung!AC462</f>
        <v>6</v>
      </c>
      <c r="BD24" s="787">
        <f>Auswertung!AC470</f>
        <v>8</v>
      </c>
      <c r="BE24" s="787">
        <f>Auswertung!AC478</f>
        <v>7</v>
      </c>
      <c r="BF24" s="787">
        <f>Auswertung!AC486</f>
        <v>9</v>
      </c>
      <c r="BG24" s="22">
        <f>Auswertung!AC502</f>
        <v>14</v>
      </c>
      <c r="BH24" s="22">
        <f>Auswertung!AC510</f>
        <v>7</v>
      </c>
      <c r="BI24" s="21">
        <f>Auswertung!AC518</f>
        <v>4</v>
      </c>
      <c r="BJ24" s="828">
        <f>Auswertung!AC526</f>
        <v>5</v>
      </c>
      <c r="BK24" s="22">
        <f>Auswertung!AC542</f>
        <v>6</v>
      </c>
      <c r="BL24" s="22">
        <f>Auswertung!AC550</f>
        <v>3</v>
      </c>
      <c r="BM24" s="21">
        <f>Auswertung!AC558</f>
        <v>12</v>
      </c>
      <c r="BN24" s="511">
        <f>Auswertung!AC566</f>
        <v>4</v>
      </c>
      <c r="BO24" s="21">
        <f>Auswertung!AC574</f>
        <v>5</v>
      </c>
      <c r="BP24" s="511">
        <f>Auswertung!AC582</f>
        <v>4</v>
      </c>
      <c r="BQ24" s="1"/>
      <c r="BT24" s="1"/>
      <c r="BY24" s="194"/>
      <c r="BZ24" s="194"/>
      <c r="CA24" s="194"/>
      <c r="CB24" s="194"/>
      <c r="CC24" s="170"/>
      <c r="CD24" s="170"/>
      <c r="CE24" s="170"/>
      <c r="CF24" s="170"/>
      <c r="CG24" s="170"/>
      <c r="CH24" s="170"/>
      <c r="CI24" s="174"/>
      <c r="CJ24" s="174"/>
      <c r="CK24" s="174"/>
      <c r="CL24" s="174"/>
      <c r="CM24" s="285"/>
      <c r="CN24" s="285"/>
      <c r="CO24" s="285"/>
      <c r="CP24" s="285"/>
      <c r="CQ24" s="285"/>
      <c r="CR24" s="274"/>
      <c r="CS24" s="274"/>
      <c r="CT24" s="274"/>
      <c r="CU24" s="274"/>
      <c r="CV24" s="274"/>
      <c r="CW24" s="300"/>
      <c r="CX24" s="300"/>
      <c r="CY24" s="300"/>
      <c r="CZ24" s="300"/>
      <c r="DA24" s="310"/>
      <c r="DB24" s="310"/>
      <c r="DC24" s="310"/>
      <c r="DD24" s="310"/>
      <c r="DE24" s="320"/>
      <c r="DF24" s="320"/>
      <c r="DG24" s="320"/>
      <c r="DH24" s="320"/>
      <c r="DI24" s="320"/>
      <c r="DJ24" s="773"/>
      <c r="DK24" s="773"/>
      <c r="DL24" s="773"/>
      <c r="DM24" s="773"/>
      <c r="DN24" s="787"/>
      <c r="DO24" s="787"/>
      <c r="DP24" s="787"/>
      <c r="DQ24" s="787"/>
      <c r="DU24" s="840"/>
      <c r="EB24" s="10"/>
    </row>
    <row r="25" spans="1:132" s="6" customFormat="1" ht="15.75">
      <c r="A25" s="24" t="s">
        <v>29</v>
      </c>
      <c r="B25" s="333">
        <f>'Teamprofile (8)'!B24</f>
        <v>0.1206896551724138</v>
      </c>
      <c r="C25" s="14">
        <f>(B25/D25)-1</f>
        <v>-0.45287356321839078</v>
      </c>
      <c r="D25" s="885">
        <v>0.22058823529411764</v>
      </c>
      <c r="E25" s="882">
        <f>'Teamprofile (8)'!C24</f>
        <v>0.16981132075471697</v>
      </c>
      <c r="F25" s="509">
        <f>(E25/G25)-1</f>
        <v>1.8867924528301883E-2</v>
      </c>
      <c r="G25" s="890">
        <v>0.16666666666666666</v>
      </c>
      <c r="H25" s="882">
        <f>'Teamprofile (8)'!D24</f>
        <v>0.16949152542372881</v>
      </c>
      <c r="I25" s="509">
        <f>(H25/J25)-1</f>
        <v>0.22881355932203395</v>
      </c>
      <c r="J25" s="890">
        <v>0.13793103448275862</v>
      </c>
      <c r="K25" s="882">
        <f>'Teamprofile (8)'!E24</f>
        <v>0.21153846153846154</v>
      </c>
      <c r="L25" s="509">
        <f>(K25/M25)-1</f>
        <v>0.83333333333333326</v>
      </c>
      <c r="M25" s="890">
        <v>0.11538461538461539</v>
      </c>
      <c r="N25" s="398">
        <f>N24/N38</f>
        <v>8.3333333333333329E-2</v>
      </c>
      <c r="O25" s="200">
        <f>O24/O38</f>
        <v>0.10416666666666667</v>
      </c>
      <c r="P25" s="200">
        <f>P24/P38</f>
        <v>0.14893617021276595</v>
      </c>
      <c r="Q25" s="348">
        <f>Q24/Q38</f>
        <v>0.1276595744680851</v>
      </c>
      <c r="R25" s="172">
        <f t="shared" ref="R25:AA25" si="78">R24/R38</f>
        <v>0.13333333333333333</v>
      </c>
      <c r="S25" s="172">
        <f t="shared" si="78"/>
        <v>0.26829268292682928</v>
      </c>
      <c r="T25" s="172">
        <f t="shared" ref="T25:U25" si="79">T24/T38</f>
        <v>0.17142857142857143</v>
      </c>
      <c r="U25" s="718">
        <f t="shared" si="79"/>
        <v>0.12121212121212122</v>
      </c>
      <c r="V25" s="172">
        <f t="shared" si="78"/>
        <v>0.15384615384615385</v>
      </c>
      <c r="W25" s="171">
        <f t="shared" si="78"/>
        <v>0.25</v>
      </c>
      <c r="X25" s="394">
        <f t="shared" si="78"/>
        <v>0.11666666666666667</v>
      </c>
      <c r="Y25" s="181">
        <f t="shared" si="78"/>
        <v>0.12280701754385964</v>
      </c>
      <c r="Z25" s="181">
        <f t="shared" si="78"/>
        <v>0.22</v>
      </c>
      <c r="AA25" s="179">
        <f t="shared" si="78"/>
        <v>0.2857142857142857</v>
      </c>
      <c r="AB25" s="390">
        <f t="shared" ref="AB25:AF25" si="80">AB24/AB38</f>
        <v>0.1111111111111111</v>
      </c>
      <c r="AC25" s="390">
        <f t="shared" si="80"/>
        <v>0.33333333333333331</v>
      </c>
      <c r="AD25" s="724">
        <f t="shared" si="80"/>
        <v>4.3478260869565216E-2</v>
      </c>
      <c r="AE25" s="390">
        <f t="shared" si="80"/>
        <v>0.3</v>
      </c>
      <c r="AF25" s="390">
        <f t="shared" si="80"/>
        <v>0.17857142857142858</v>
      </c>
      <c r="AG25" s="399">
        <f t="shared" ref="AG25:AO25" si="81">AG24/AG38</f>
        <v>0.29268292682926828</v>
      </c>
      <c r="AH25" s="399">
        <f t="shared" si="81"/>
        <v>0.27586206896551724</v>
      </c>
      <c r="AI25" s="399">
        <f t="shared" ref="AI25" si="82">AI24/AI38</f>
        <v>0.2</v>
      </c>
      <c r="AJ25" s="334">
        <f t="shared" si="81"/>
        <v>7.3170731707317069E-2</v>
      </c>
      <c r="AK25" s="399">
        <f t="shared" si="81"/>
        <v>0.25925925925925924</v>
      </c>
      <c r="AL25" s="400">
        <f t="shared" si="81"/>
        <v>8.5106382978723402E-2</v>
      </c>
      <c r="AM25" s="401">
        <f t="shared" si="81"/>
        <v>0.36170212765957449</v>
      </c>
      <c r="AN25" s="401">
        <f t="shared" si="81"/>
        <v>0.17777777777777778</v>
      </c>
      <c r="AO25" s="401">
        <f t="shared" si="81"/>
        <v>0.13043478260869565</v>
      </c>
      <c r="AP25" s="403">
        <f t="shared" ref="AP25:AS25" si="83">AP24/AP38</f>
        <v>0.15555555555555556</v>
      </c>
      <c r="AQ25" s="403">
        <f t="shared" si="83"/>
        <v>0.36585365853658536</v>
      </c>
      <c r="AR25" s="750">
        <f t="shared" si="83"/>
        <v>2.8571428571428571E-2</v>
      </c>
      <c r="AS25" s="403">
        <f t="shared" si="83"/>
        <v>0.18181818181818182</v>
      </c>
      <c r="AT25" s="402">
        <f t="shared" ref="AT25:BF25" si="84">AT24/AT38</f>
        <v>0.36</v>
      </c>
      <c r="AU25" s="402">
        <f t="shared" si="84"/>
        <v>0.17857142857142858</v>
      </c>
      <c r="AV25" s="402">
        <f t="shared" si="84"/>
        <v>0.25</v>
      </c>
      <c r="AW25" s="402">
        <f t="shared" si="84"/>
        <v>0.2857142857142857</v>
      </c>
      <c r="AX25" s="405">
        <f t="shared" si="84"/>
        <v>0.1</v>
      </c>
      <c r="AY25" s="769">
        <f t="shared" si="84"/>
        <v>0.28947368421052633</v>
      </c>
      <c r="AZ25" s="769">
        <f t="shared" si="84"/>
        <v>0.38235294117647056</v>
      </c>
      <c r="BA25" s="769">
        <f t="shared" si="84"/>
        <v>0.27777777777777779</v>
      </c>
      <c r="BB25" s="741">
        <f t="shared" si="84"/>
        <v>0.10810810810810811</v>
      </c>
      <c r="BC25" s="744">
        <f t="shared" si="84"/>
        <v>0.15</v>
      </c>
      <c r="BD25" s="783">
        <f t="shared" si="84"/>
        <v>0.21052631578947367</v>
      </c>
      <c r="BE25" s="783">
        <f t="shared" si="84"/>
        <v>0.21875</v>
      </c>
      <c r="BF25" s="783">
        <f t="shared" si="84"/>
        <v>0.32142857142857145</v>
      </c>
      <c r="BG25" s="579">
        <f>BG24/BG38</f>
        <v>0.34146341463414637</v>
      </c>
      <c r="BH25" s="579">
        <f>BH24/BH38</f>
        <v>0.2</v>
      </c>
      <c r="BI25" s="806">
        <f>BI24/BI38</f>
        <v>0.125</v>
      </c>
      <c r="BJ25" s="834">
        <f>BJ24/BJ38</f>
        <v>0.18518518518518517</v>
      </c>
      <c r="BK25" s="806">
        <f t="shared" ref="BK25:BP25" si="85">BK24/BK38</f>
        <v>0.22222222222222221</v>
      </c>
      <c r="BL25" s="579">
        <f t="shared" si="85"/>
        <v>0.23076923076923078</v>
      </c>
      <c r="BM25" s="579">
        <f t="shared" si="85"/>
        <v>0.48</v>
      </c>
      <c r="BN25" s="578">
        <f t="shared" si="85"/>
        <v>0.2857142857142857</v>
      </c>
      <c r="BO25" s="579">
        <f t="shared" si="85"/>
        <v>0.29411764705882354</v>
      </c>
      <c r="BP25" s="578">
        <f t="shared" si="85"/>
        <v>0.4</v>
      </c>
      <c r="BQ25" s="31"/>
      <c r="BR25" s="361">
        <f>MIN(N25:BP25,K25,H25,E25,B25)</f>
        <v>2.8571428571428571E-2</v>
      </c>
      <c r="BS25" s="361">
        <f>MAX(N25:BP25,K25,H25,E25,B25)</f>
        <v>0.48</v>
      </c>
      <c r="BT25" s="31"/>
      <c r="BU25" s="387">
        <f>$BR25/B25</f>
        <v>0.236734693877551</v>
      </c>
      <c r="BV25" s="332">
        <f>$BR25/E25</f>
        <v>0.16825396825396827</v>
      </c>
      <c r="BW25" s="9">
        <f>$BR25/H25</f>
        <v>0.16857142857142857</v>
      </c>
      <c r="BX25" s="9">
        <f>$BR25/K25</f>
        <v>0.13506493506493505</v>
      </c>
      <c r="BY25" s="355">
        <f t="shared" ref="BY25:DD25" si="86">$BR25/N25</f>
        <v>0.34285714285714286</v>
      </c>
      <c r="BZ25" s="332">
        <f t="shared" si="86"/>
        <v>0.27428571428571424</v>
      </c>
      <c r="CA25" s="199">
        <f t="shared" si="86"/>
        <v>0.19183673469387755</v>
      </c>
      <c r="CB25" s="199">
        <f t="shared" si="86"/>
        <v>0.22380952380952382</v>
      </c>
      <c r="CC25" s="227">
        <f t="shared" si="86"/>
        <v>0.21428571428571427</v>
      </c>
      <c r="CD25" s="168">
        <f t="shared" si="86"/>
        <v>0.10649350649350649</v>
      </c>
      <c r="CE25" s="168">
        <f t="shared" si="86"/>
        <v>0.16666666666666666</v>
      </c>
      <c r="CF25" s="355">
        <f t="shared" si="86"/>
        <v>0.23571428571428571</v>
      </c>
      <c r="CG25" s="168">
        <f t="shared" si="86"/>
        <v>0.18571428571428569</v>
      </c>
      <c r="CH25" s="168">
        <f t="shared" si="86"/>
        <v>0.11428571428571428</v>
      </c>
      <c r="CI25" s="355">
        <f t="shared" si="86"/>
        <v>0.24489795918367346</v>
      </c>
      <c r="CJ25" s="227">
        <f t="shared" si="86"/>
        <v>0.23265306122448981</v>
      </c>
      <c r="CK25" s="180">
        <f t="shared" si="86"/>
        <v>0.12987012987012986</v>
      </c>
      <c r="CL25" s="180">
        <f t="shared" si="86"/>
        <v>0.1</v>
      </c>
      <c r="CM25" s="227">
        <f t="shared" si="86"/>
        <v>0.25714285714285717</v>
      </c>
      <c r="CN25" s="390">
        <f t="shared" si="86"/>
        <v>8.5714285714285715E-2</v>
      </c>
      <c r="CO25" s="355">
        <f t="shared" si="86"/>
        <v>0.65714285714285714</v>
      </c>
      <c r="CP25" s="390">
        <f t="shared" si="86"/>
        <v>9.5238095238095233E-2</v>
      </c>
      <c r="CQ25" s="390">
        <f t="shared" si="86"/>
        <v>0.16</v>
      </c>
      <c r="CR25" s="399">
        <f t="shared" si="86"/>
        <v>9.7619047619047619E-2</v>
      </c>
      <c r="CS25" s="399">
        <f t="shared" si="86"/>
        <v>0.10357142857142856</v>
      </c>
      <c r="CT25" s="227">
        <f t="shared" si="86"/>
        <v>0.14285714285714285</v>
      </c>
      <c r="CU25" s="355">
        <f t="shared" si="86"/>
        <v>0.39047619047619048</v>
      </c>
      <c r="CV25" s="399">
        <f t="shared" si="86"/>
        <v>0.11020408163265306</v>
      </c>
      <c r="CW25" s="355">
        <f t="shared" si="86"/>
        <v>0.33571428571428569</v>
      </c>
      <c r="CX25" s="401">
        <f t="shared" si="86"/>
        <v>7.8991596638655459E-2</v>
      </c>
      <c r="CY25" s="401">
        <f t="shared" si="86"/>
        <v>0.1607142857142857</v>
      </c>
      <c r="CZ25" s="227">
        <f t="shared" si="86"/>
        <v>0.21904761904761905</v>
      </c>
      <c r="DA25" s="227">
        <f t="shared" si="86"/>
        <v>0.18367346938775508</v>
      </c>
      <c r="DB25" s="403">
        <f t="shared" si="86"/>
        <v>7.8095238095238093E-2</v>
      </c>
      <c r="DC25" s="759">
        <f t="shared" si="86"/>
        <v>1</v>
      </c>
      <c r="DD25" s="403">
        <f t="shared" si="86"/>
        <v>0.15714285714285714</v>
      </c>
      <c r="DE25" s="402">
        <f t="shared" ref="DE25:EA25" si="87">$BR25/AT25</f>
        <v>7.9365079365079361E-2</v>
      </c>
      <c r="DF25" s="227">
        <f t="shared" si="87"/>
        <v>0.16</v>
      </c>
      <c r="DG25" s="402">
        <f t="shared" si="87"/>
        <v>0.11428571428571428</v>
      </c>
      <c r="DH25" s="402">
        <f t="shared" si="87"/>
        <v>0.1</v>
      </c>
      <c r="DI25" s="355">
        <f t="shared" si="87"/>
        <v>0.2857142857142857</v>
      </c>
      <c r="DJ25" s="810">
        <f t="shared" si="87"/>
        <v>9.8701298701298693E-2</v>
      </c>
      <c r="DK25" s="810">
        <f t="shared" si="87"/>
        <v>7.4725274725274723E-2</v>
      </c>
      <c r="DL25" s="227">
        <f t="shared" si="87"/>
        <v>0.10285714285714286</v>
      </c>
      <c r="DM25" s="817">
        <f t="shared" si="87"/>
        <v>0.26428571428571429</v>
      </c>
      <c r="DN25" s="817">
        <f t="shared" si="87"/>
        <v>0.19047619047619047</v>
      </c>
      <c r="DO25" s="765">
        <f t="shared" si="87"/>
        <v>0.1357142857142857</v>
      </c>
      <c r="DP25" s="811">
        <f t="shared" si="87"/>
        <v>0.13061224489795917</v>
      </c>
      <c r="DQ25" s="811">
        <f t="shared" si="87"/>
        <v>8.8888888888888878E-2</v>
      </c>
      <c r="DR25" s="843">
        <f t="shared" si="87"/>
        <v>8.3673469387755092E-2</v>
      </c>
      <c r="DS25" s="227">
        <f t="shared" si="87"/>
        <v>0.14285714285714285</v>
      </c>
      <c r="DT25" s="226">
        <f t="shared" si="87"/>
        <v>0.22857142857142856</v>
      </c>
      <c r="DU25" s="837">
        <f t="shared" si="87"/>
        <v>0.15428571428571428</v>
      </c>
      <c r="DV25" s="226">
        <f t="shared" si="87"/>
        <v>0.12857142857142859</v>
      </c>
      <c r="DW25" s="227">
        <f t="shared" si="87"/>
        <v>0.1238095238095238</v>
      </c>
      <c r="DX25" s="505">
        <f t="shared" si="87"/>
        <v>5.9523809523809527E-2</v>
      </c>
      <c r="DY25" s="843">
        <f t="shared" si="87"/>
        <v>0.1</v>
      </c>
      <c r="DZ25" s="505">
        <f t="shared" si="87"/>
        <v>9.7142857142857142E-2</v>
      </c>
      <c r="EA25" s="505">
        <f t="shared" si="87"/>
        <v>7.1428571428571425E-2</v>
      </c>
      <c r="EB25" s="8"/>
    </row>
    <row r="26" spans="1:132">
      <c r="A26" s="25" t="s">
        <v>28</v>
      </c>
      <c r="B26" s="13">
        <f>'Teamprofile (8)'!B25</f>
        <v>0.28000000000000003</v>
      </c>
      <c r="C26" s="13"/>
      <c r="D26" s="889">
        <v>0.75</v>
      </c>
      <c r="E26" s="13">
        <f>'Teamprofile (8)'!C25</f>
        <v>0.36</v>
      </c>
      <c r="F26" s="13"/>
      <c r="G26" s="889">
        <v>0.38461538461538464</v>
      </c>
      <c r="H26" s="26">
        <f>'Teamprofile (8)'!D25</f>
        <v>0.4</v>
      </c>
      <c r="I26" s="26"/>
      <c r="J26" s="889">
        <v>0.38095238095238093</v>
      </c>
      <c r="K26" s="26">
        <f>'Teamprofile (8)'!E25</f>
        <v>0.44</v>
      </c>
      <c r="L26" s="26"/>
      <c r="M26" s="889">
        <v>0.25</v>
      </c>
      <c r="N26" s="207">
        <f t="shared" ref="N26:AA26" si="88">N24/N2</f>
        <v>0.16</v>
      </c>
      <c r="O26" s="207">
        <f t="shared" si="88"/>
        <v>0.2</v>
      </c>
      <c r="P26" s="211">
        <f t="shared" si="88"/>
        <v>0.28000000000000003</v>
      </c>
      <c r="Q26" s="211">
        <f t="shared" si="88"/>
        <v>0.24</v>
      </c>
      <c r="R26" s="163">
        <f t="shared" si="88"/>
        <v>0.32</v>
      </c>
      <c r="S26" s="163">
        <f t="shared" si="88"/>
        <v>0.57894736842105265</v>
      </c>
      <c r="T26" s="167">
        <f t="shared" ref="T26:U26" si="89">T24/T2</f>
        <v>0.35294117647058826</v>
      </c>
      <c r="U26" s="167">
        <f t="shared" si="89"/>
        <v>0.18181818181818182</v>
      </c>
      <c r="V26" s="167">
        <f t="shared" si="88"/>
        <v>0.33333333333333331</v>
      </c>
      <c r="W26" s="167">
        <f t="shared" si="88"/>
        <v>0.6</v>
      </c>
      <c r="X26" s="187">
        <f t="shared" si="88"/>
        <v>0.25925925925925924</v>
      </c>
      <c r="Y26" s="187">
        <f t="shared" si="88"/>
        <v>0.25925925925925924</v>
      </c>
      <c r="Z26" s="191">
        <f t="shared" si="88"/>
        <v>0.40740740740740738</v>
      </c>
      <c r="AA26" s="191">
        <f t="shared" si="88"/>
        <v>0.44444444444444442</v>
      </c>
      <c r="AB26" s="286">
        <f t="shared" ref="AB26:AF26" si="90">AB24/AB2</f>
        <v>0.29411764705882354</v>
      </c>
      <c r="AC26" s="286">
        <f t="shared" si="90"/>
        <v>0.66666666666666663</v>
      </c>
      <c r="AD26" s="286">
        <f t="shared" si="90"/>
        <v>9.0909090909090912E-2</v>
      </c>
      <c r="AE26" s="286">
        <f t="shared" si="90"/>
        <v>0.52941176470588236</v>
      </c>
      <c r="AF26" s="286">
        <f t="shared" si="90"/>
        <v>0.29411764705882354</v>
      </c>
      <c r="AG26" s="275">
        <f t="shared" ref="AG26:AO26" si="91">AG24/AG2</f>
        <v>0.8</v>
      </c>
      <c r="AH26" s="275">
        <f t="shared" si="91"/>
        <v>0.61538461538461542</v>
      </c>
      <c r="AI26" s="275">
        <f t="shared" ref="AI26" si="92">AI24/AI2</f>
        <v>0.5</v>
      </c>
      <c r="AJ26" s="275">
        <f t="shared" si="91"/>
        <v>0.1875</v>
      </c>
      <c r="AK26" s="275">
        <f t="shared" si="91"/>
        <v>0.58333333333333337</v>
      </c>
      <c r="AL26" s="301">
        <f t="shared" si="91"/>
        <v>0.23529411764705882</v>
      </c>
      <c r="AM26" s="301">
        <f t="shared" si="91"/>
        <v>1</v>
      </c>
      <c r="AN26" s="301">
        <f t="shared" si="91"/>
        <v>0.47058823529411764</v>
      </c>
      <c r="AO26" s="301">
        <f t="shared" si="91"/>
        <v>0.35294117647058826</v>
      </c>
      <c r="AP26" s="311">
        <f t="shared" ref="AP26:AS26" si="93">AP24/AP2</f>
        <v>0.41176470588235292</v>
      </c>
      <c r="AQ26" s="311">
        <f t="shared" si="93"/>
        <v>0.88235294117647056</v>
      </c>
      <c r="AR26" s="311">
        <f t="shared" si="93"/>
        <v>5.8823529411764705E-2</v>
      </c>
      <c r="AS26" s="311">
        <f t="shared" si="93"/>
        <v>0.35294117647058826</v>
      </c>
      <c r="AT26" s="321">
        <f t="shared" ref="AT26:BP26" si="94">AT24/AT2</f>
        <v>0.75</v>
      </c>
      <c r="AU26" s="321">
        <f t="shared" si="94"/>
        <v>0.41666666666666669</v>
      </c>
      <c r="AV26" s="321">
        <f t="shared" si="94"/>
        <v>0.5</v>
      </c>
      <c r="AW26" s="321">
        <f t="shared" si="94"/>
        <v>0.66666666666666663</v>
      </c>
      <c r="AX26" s="321">
        <f t="shared" si="94"/>
        <v>0.25</v>
      </c>
      <c r="AY26" s="774">
        <f t="shared" si="94"/>
        <v>0.73333333333333328</v>
      </c>
      <c r="AZ26" s="774">
        <f t="shared" si="94"/>
        <v>0.8666666666666667</v>
      </c>
      <c r="BA26" s="774">
        <f t="shared" si="94"/>
        <v>0.66666666666666663</v>
      </c>
      <c r="BB26" s="774">
        <f t="shared" si="94"/>
        <v>0.26666666666666666</v>
      </c>
      <c r="BC26" s="788">
        <f t="shared" si="94"/>
        <v>0.42857142857142855</v>
      </c>
      <c r="BD26" s="788">
        <f t="shared" si="94"/>
        <v>0.5714285714285714</v>
      </c>
      <c r="BE26" s="788">
        <f t="shared" si="94"/>
        <v>0.5</v>
      </c>
      <c r="BF26" s="788">
        <f t="shared" si="94"/>
        <v>0.6428571428571429</v>
      </c>
      <c r="BG26" s="508">
        <f t="shared" si="94"/>
        <v>0.875</v>
      </c>
      <c r="BH26" s="508">
        <f t="shared" si="94"/>
        <v>0.4375</v>
      </c>
      <c r="BI26" s="513">
        <f t="shared" si="94"/>
        <v>0.25</v>
      </c>
      <c r="BJ26" s="830">
        <f t="shared" si="94"/>
        <v>0.3125</v>
      </c>
      <c r="BK26" s="508">
        <f t="shared" si="94"/>
        <v>0.6</v>
      </c>
      <c r="BL26" s="508">
        <f t="shared" si="94"/>
        <v>0.5</v>
      </c>
      <c r="BM26" s="513">
        <f t="shared" si="94"/>
        <v>1</v>
      </c>
      <c r="BN26" s="513">
        <f t="shared" si="94"/>
        <v>0.66666666666666663</v>
      </c>
      <c r="BO26" s="513">
        <f t="shared" si="94"/>
        <v>0.625</v>
      </c>
      <c r="BP26" s="513">
        <f t="shared" si="94"/>
        <v>0.66666666666666663</v>
      </c>
      <c r="BQ26" s="1"/>
      <c r="BT26" s="1"/>
      <c r="BY26" s="194"/>
      <c r="BZ26" s="194"/>
      <c r="CA26" s="194"/>
      <c r="CB26" s="194"/>
      <c r="CC26" s="170"/>
      <c r="CD26" s="170"/>
      <c r="CE26" s="170"/>
      <c r="CF26" s="170"/>
      <c r="CG26" s="170"/>
      <c r="CH26" s="170"/>
      <c r="CI26" s="174"/>
      <c r="CJ26" s="174"/>
      <c r="CK26" s="174"/>
      <c r="CL26" s="174"/>
      <c r="CM26" s="286"/>
      <c r="CN26" s="286"/>
      <c r="CO26" s="286"/>
      <c r="CP26" s="286"/>
      <c r="CQ26" s="286"/>
      <c r="CR26" s="275"/>
      <c r="CS26" s="275"/>
      <c r="CT26" s="275"/>
      <c r="CU26" s="275"/>
      <c r="CV26" s="275"/>
      <c r="CW26" s="301"/>
      <c r="CX26" s="301"/>
      <c r="CY26" s="301"/>
      <c r="CZ26" s="301"/>
      <c r="DA26" s="311"/>
      <c r="DB26" s="311"/>
      <c r="DC26" s="311"/>
      <c r="DD26" s="311"/>
      <c r="DE26" s="321"/>
      <c r="DF26" s="321"/>
      <c r="DG26" s="321"/>
      <c r="DH26" s="321"/>
      <c r="DI26" s="321"/>
      <c r="DJ26" s="774"/>
      <c r="DK26" s="774"/>
      <c r="DL26" s="774"/>
      <c r="DM26" s="774"/>
      <c r="DN26" s="788"/>
      <c r="DO26" s="788"/>
      <c r="DP26" s="788"/>
      <c r="DQ26" s="788"/>
      <c r="DU26" s="840"/>
      <c r="EB26" s="10"/>
    </row>
    <row r="27" spans="1:132">
      <c r="A27" s="1" t="s">
        <v>27</v>
      </c>
      <c r="B27" s="19">
        <f>'Teamprofile (8)'!B26</f>
        <v>19</v>
      </c>
      <c r="C27" s="19"/>
      <c r="D27" s="886">
        <v>9</v>
      </c>
      <c r="E27" s="19">
        <f>'Teamprofile (8)'!C26</f>
        <v>16</v>
      </c>
      <c r="F27" s="19"/>
      <c r="G27" s="884">
        <v>8</v>
      </c>
      <c r="H27" s="17">
        <f>'Teamprofile (8)'!D26</f>
        <v>16</v>
      </c>
      <c r="I27" s="17"/>
      <c r="J27" s="891">
        <v>13</v>
      </c>
      <c r="K27" s="16">
        <f>'Teamprofile (8)'!E26</f>
        <v>14</v>
      </c>
      <c r="L27" s="16"/>
      <c r="M27" s="891">
        <v>10</v>
      </c>
      <c r="N27" s="205">
        <v>21</v>
      </c>
      <c r="O27" s="205">
        <v>21</v>
      </c>
      <c r="P27" s="204">
        <v>18</v>
      </c>
      <c r="Q27" s="195">
        <v>20</v>
      </c>
      <c r="R27" s="157">
        <v>18</v>
      </c>
      <c r="S27" s="157">
        <v>9</v>
      </c>
      <c r="T27" s="155">
        <v>11</v>
      </c>
      <c r="U27" s="598">
        <v>18</v>
      </c>
      <c r="V27" s="155">
        <v>8</v>
      </c>
      <c r="W27" s="156">
        <v>2</v>
      </c>
      <c r="X27" s="186">
        <v>20</v>
      </c>
      <c r="Y27" s="186">
        <v>20</v>
      </c>
      <c r="Z27" s="185">
        <v>17</v>
      </c>
      <c r="AA27" s="175">
        <v>15</v>
      </c>
      <c r="AB27" s="282">
        <v>12</v>
      </c>
      <c r="AC27" s="282">
        <v>3</v>
      </c>
      <c r="AD27" s="282">
        <v>10</v>
      </c>
      <c r="AE27" s="282">
        <v>9</v>
      </c>
      <c r="AF27" s="282">
        <v>11</v>
      </c>
      <c r="AG27" s="271">
        <v>6</v>
      </c>
      <c r="AH27" s="271">
        <v>6</v>
      </c>
      <c r="AI27" s="271">
        <v>9</v>
      </c>
      <c r="AJ27" s="271">
        <v>13</v>
      </c>
      <c r="AK27" s="271">
        <v>5</v>
      </c>
      <c r="AL27" s="297">
        <v>15</v>
      </c>
      <c r="AM27" s="297">
        <v>6</v>
      </c>
      <c r="AN27" s="297">
        <v>11</v>
      </c>
      <c r="AO27" s="297">
        <v>11</v>
      </c>
      <c r="AP27" s="307">
        <v>11</v>
      </c>
      <c r="AQ27" s="307">
        <v>4</v>
      </c>
      <c r="AR27" s="307">
        <v>16</v>
      </c>
      <c r="AS27" s="307">
        <v>11</v>
      </c>
      <c r="AT27" s="317">
        <v>5</v>
      </c>
      <c r="AU27" s="317">
        <v>8</v>
      </c>
      <c r="AV27" s="317">
        <v>5</v>
      </c>
      <c r="AW27" s="317">
        <v>6</v>
      </c>
      <c r="AX27" s="317">
        <v>9</v>
      </c>
      <c r="AY27" s="768">
        <v>5</v>
      </c>
      <c r="AZ27" s="768">
        <v>5</v>
      </c>
      <c r="BA27" s="768">
        <v>6</v>
      </c>
      <c r="BB27" s="768">
        <v>11</v>
      </c>
      <c r="BC27" s="782">
        <v>9</v>
      </c>
      <c r="BD27" s="782">
        <v>8</v>
      </c>
      <c r="BE27" s="782">
        <v>9</v>
      </c>
      <c r="BF27" s="782">
        <v>8</v>
      </c>
      <c r="BG27" s="19">
        <v>5</v>
      </c>
      <c r="BH27" s="19">
        <v>9</v>
      </c>
      <c r="BI27" s="17">
        <v>12</v>
      </c>
      <c r="BJ27" s="823">
        <v>10</v>
      </c>
      <c r="BK27" s="19">
        <v>6</v>
      </c>
      <c r="BL27" s="19">
        <v>4</v>
      </c>
      <c r="BM27" s="17">
        <v>3</v>
      </c>
      <c r="BN27" s="510">
        <v>3</v>
      </c>
      <c r="BO27" s="17">
        <v>4</v>
      </c>
      <c r="BP27" s="510">
        <v>2</v>
      </c>
      <c r="BQ27" s="1"/>
      <c r="BT27" s="1"/>
      <c r="BY27" s="194"/>
      <c r="BZ27" s="194"/>
      <c r="CA27" s="194"/>
      <c r="CB27" s="194"/>
      <c r="CC27" s="170"/>
      <c r="CD27" s="170"/>
      <c r="CE27" s="170"/>
      <c r="CF27" s="170"/>
      <c r="CG27" s="170"/>
      <c r="CH27" s="170"/>
      <c r="CI27" s="174"/>
      <c r="CJ27" s="174"/>
      <c r="CK27" s="174"/>
      <c r="CL27" s="174"/>
      <c r="CM27" s="282"/>
      <c r="CN27" s="282"/>
      <c r="CO27" s="282"/>
      <c r="CP27" s="282"/>
      <c r="CQ27" s="282"/>
      <c r="CR27" s="271"/>
      <c r="CS27" s="271"/>
      <c r="CT27" s="271"/>
      <c r="CU27" s="271"/>
      <c r="CV27" s="271"/>
      <c r="CW27" s="297"/>
      <c r="CX27" s="297"/>
      <c r="CY27" s="297"/>
      <c r="CZ27" s="297"/>
      <c r="DA27" s="307"/>
      <c r="DB27" s="307"/>
      <c r="DC27" s="307"/>
      <c r="DD27" s="307"/>
      <c r="DE27" s="317"/>
      <c r="DF27" s="317"/>
      <c r="DG27" s="317"/>
      <c r="DH27" s="317"/>
      <c r="DI27" s="317"/>
      <c r="DJ27" s="768"/>
      <c r="DK27" s="768"/>
      <c r="DL27" s="768"/>
      <c r="DM27" s="768"/>
      <c r="DN27" s="782"/>
      <c r="DO27" s="782"/>
      <c r="DP27" s="782"/>
      <c r="DQ27" s="782"/>
      <c r="DU27" s="840"/>
      <c r="EB27" s="10"/>
    </row>
    <row r="28" spans="1:132" ht="15.75">
      <c r="A28" s="25" t="s">
        <v>26</v>
      </c>
      <c r="B28" s="333">
        <f>'Teamprofile (8)'!B27</f>
        <v>0.76</v>
      </c>
      <c r="C28" s="14">
        <f>(B28/D28)-1</f>
        <v>0.68888888888888888</v>
      </c>
      <c r="D28" s="893">
        <v>0.45</v>
      </c>
      <c r="E28" s="333">
        <f>'Teamprofile (8)'!C27</f>
        <v>0.64</v>
      </c>
      <c r="F28" s="509">
        <f>(E28/G28)-1</f>
        <v>4.0000000000000036E-2</v>
      </c>
      <c r="G28" s="893">
        <v>0.61538461538461542</v>
      </c>
      <c r="H28" s="333">
        <f>'Teamprofile (8)'!D27</f>
        <v>0.64</v>
      </c>
      <c r="I28" s="509">
        <f>(H28/J28)-1</f>
        <v>3.3846153846153859E-2</v>
      </c>
      <c r="J28" s="893">
        <v>0.61904761904761907</v>
      </c>
      <c r="K28" s="882">
        <f>'Teamprofile (8)'!E27</f>
        <v>0.56000000000000005</v>
      </c>
      <c r="L28" s="509">
        <f>(K28/M28)-1</f>
        <v>-0.32799999999999996</v>
      </c>
      <c r="M28" s="890">
        <v>0.83333333333333337</v>
      </c>
      <c r="N28" s="198">
        <f t="shared" ref="N28:AA28" si="95">N27/N2</f>
        <v>0.84</v>
      </c>
      <c r="O28" s="198">
        <f t="shared" si="95"/>
        <v>0.84</v>
      </c>
      <c r="P28" s="196">
        <f t="shared" si="95"/>
        <v>0.72</v>
      </c>
      <c r="Q28" s="197">
        <f t="shared" si="95"/>
        <v>0.8</v>
      </c>
      <c r="R28" s="160">
        <f t="shared" si="95"/>
        <v>0.72</v>
      </c>
      <c r="S28" s="160">
        <f t="shared" si="95"/>
        <v>0.47368421052631576</v>
      </c>
      <c r="T28" s="158">
        <f t="shared" ref="T28:U28" si="96">T27/T2</f>
        <v>0.6470588235294118</v>
      </c>
      <c r="U28" s="159">
        <f t="shared" si="96"/>
        <v>0.81818181818181823</v>
      </c>
      <c r="V28" s="158">
        <f t="shared" si="95"/>
        <v>0.66666666666666663</v>
      </c>
      <c r="W28" s="159">
        <f t="shared" si="95"/>
        <v>0.4</v>
      </c>
      <c r="X28" s="178">
        <f t="shared" si="95"/>
        <v>0.7407407407407407</v>
      </c>
      <c r="Y28" s="178">
        <f t="shared" si="95"/>
        <v>0.7407407407407407</v>
      </c>
      <c r="Z28" s="176">
        <f t="shared" si="95"/>
        <v>0.62962962962962965</v>
      </c>
      <c r="AA28" s="177">
        <f t="shared" si="95"/>
        <v>0.55555555555555558</v>
      </c>
      <c r="AB28" s="288">
        <f t="shared" ref="AB28:AF28" si="97">AB27/AB2</f>
        <v>0.70588235294117652</v>
      </c>
      <c r="AC28" s="288">
        <f t="shared" si="97"/>
        <v>0.5</v>
      </c>
      <c r="AD28" s="288">
        <f t="shared" si="97"/>
        <v>0.90909090909090906</v>
      </c>
      <c r="AE28" s="288">
        <f t="shared" si="97"/>
        <v>0.52941176470588236</v>
      </c>
      <c r="AF28" s="288">
        <f t="shared" si="97"/>
        <v>0.6470588235294118</v>
      </c>
      <c r="AG28" s="277">
        <f t="shared" ref="AG28:AO28" si="98">AG27/AG2</f>
        <v>0.4</v>
      </c>
      <c r="AH28" s="277">
        <f t="shared" si="98"/>
        <v>0.46153846153846156</v>
      </c>
      <c r="AI28" s="277">
        <f t="shared" ref="AI28" si="99">AI27/AI2</f>
        <v>0.5625</v>
      </c>
      <c r="AJ28" s="277">
        <f t="shared" si="98"/>
        <v>0.8125</v>
      </c>
      <c r="AK28" s="277">
        <f t="shared" si="98"/>
        <v>0.41666666666666669</v>
      </c>
      <c r="AL28" s="292">
        <f t="shared" si="98"/>
        <v>0.88235294117647056</v>
      </c>
      <c r="AM28" s="292">
        <f t="shared" si="98"/>
        <v>0.35294117647058826</v>
      </c>
      <c r="AN28" s="292">
        <f t="shared" si="98"/>
        <v>0.6470588235294118</v>
      </c>
      <c r="AO28" s="292">
        <f t="shared" si="98"/>
        <v>0.6470588235294118</v>
      </c>
      <c r="AP28" s="295">
        <f t="shared" ref="AP28:AS28" si="100">AP27/AP2</f>
        <v>0.6470588235294118</v>
      </c>
      <c r="AQ28" s="295">
        <f t="shared" si="100"/>
        <v>0.23529411764705882</v>
      </c>
      <c r="AR28" s="295">
        <f t="shared" si="100"/>
        <v>0.94117647058823528</v>
      </c>
      <c r="AS28" s="295">
        <f t="shared" si="100"/>
        <v>0.6470588235294118</v>
      </c>
      <c r="AT28" s="323">
        <f t="shared" ref="AT28:BP28" si="101">AT27/AT2</f>
        <v>0.41666666666666669</v>
      </c>
      <c r="AU28" s="323">
        <f t="shared" si="101"/>
        <v>0.66666666666666663</v>
      </c>
      <c r="AV28" s="323">
        <f t="shared" si="101"/>
        <v>0.625</v>
      </c>
      <c r="AW28" s="323">
        <f t="shared" si="101"/>
        <v>0.5</v>
      </c>
      <c r="AX28" s="323">
        <f t="shared" si="101"/>
        <v>0.75</v>
      </c>
      <c r="AY28" s="777">
        <f t="shared" si="101"/>
        <v>0.33333333333333331</v>
      </c>
      <c r="AZ28" s="777">
        <f t="shared" si="101"/>
        <v>0.33333333333333331</v>
      </c>
      <c r="BA28" s="777">
        <f t="shared" si="101"/>
        <v>0.4</v>
      </c>
      <c r="BB28" s="777">
        <f t="shared" si="101"/>
        <v>0.73333333333333328</v>
      </c>
      <c r="BC28" s="791">
        <f t="shared" si="101"/>
        <v>0.6428571428571429</v>
      </c>
      <c r="BD28" s="791">
        <f t="shared" si="101"/>
        <v>0.5714285714285714</v>
      </c>
      <c r="BE28" s="791">
        <f t="shared" si="101"/>
        <v>0.6428571428571429</v>
      </c>
      <c r="BF28" s="791">
        <f t="shared" si="101"/>
        <v>0.5714285714285714</v>
      </c>
      <c r="BG28" s="11">
        <f t="shared" si="101"/>
        <v>0.3125</v>
      </c>
      <c r="BH28" s="11">
        <f t="shared" si="101"/>
        <v>0.5625</v>
      </c>
      <c r="BI28" s="507">
        <f t="shared" si="101"/>
        <v>0.75</v>
      </c>
      <c r="BJ28" s="835">
        <f t="shared" si="101"/>
        <v>0.625</v>
      </c>
      <c r="BK28" s="11">
        <f t="shared" si="101"/>
        <v>0.6</v>
      </c>
      <c r="BL28" s="11">
        <f t="shared" si="101"/>
        <v>0.66666666666666663</v>
      </c>
      <c r="BM28" s="507">
        <f t="shared" si="101"/>
        <v>0.25</v>
      </c>
      <c r="BN28" s="509">
        <f t="shared" si="101"/>
        <v>0.5</v>
      </c>
      <c r="BO28" s="507">
        <f t="shared" si="101"/>
        <v>0.5</v>
      </c>
      <c r="BP28" s="509">
        <f t="shared" si="101"/>
        <v>0.33333333333333331</v>
      </c>
      <c r="BQ28" s="1"/>
      <c r="BT28" s="1"/>
      <c r="BY28" s="194"/>
      <c r="BZ28" s="194"/>
      <c r="CA28" s="194"/>
      <c r="CB28" s="194"/>
      <c r="CC28" s="170"/>
      <c r="CD28" s="170"/>
      <c r="CE28" s="170"/>
      <c r="CF28" s="170"/>
      <c r="CG28" s="170"/>
      <c r="CH28" s="170"/>
      <c r="CI28" s="174"/>
      <c r="CJ28" s="174"/>
      <c r="CK28" s="174"/>
      <c r="CL28" s="174"/>
      <c r="CM28" s="288"/>
      <c r="CN28" s="288"/>
      <c r="CO28" s="288"/>
      <c r="CP28" s="288"/>
      <c r="CQ28" s="288"/>
      <c r="CR28" s="277"/>
      <c r="CS28" s="277"/>
      <c r="CT28" s="277"/>
      <c r="CU28" s="277"/>
      <c r="CV28" s="277"/>
      <c r="CW28" s="292"/>
      <c r="CX28" s="292"/>
      <c r="CY28" s="292"/>
      <c r="CZ28" s="292"/>
      <c r="DA28" s="295"/>
      <c r="DB28" s="295"/>
      <c r="DC28" s="295"/>
      <c r="DD28" s="295"/>
      <c r="DE28" s="323"/>
      <c r="DF28" s="323"/>
      <c r="DG28" s="323"/>
      <c r="DH28" s="323"/>
      <c r="DI28" s="323"/>
      <c r="DJ28" s="777"/>
      <c r="DK28" s="777"/>
      <c r="DL28" s="777"/>
      <c r="DM28" s="777"/>
      <c r="DN28" s="791"/>
      <c r="DO28" s="791"/>
      <c r="DP28" s="791"/>
      <c r="DQ28" s="791"/>
      <c r="DU28" s="840"/>
      <c r="EB28" s="10"/>
    </row>
    <row r="29" spans="1:132">
      <c r="A29" s="20" t="s">
        <v>25</v>
      </c>
      <c r="B29" s="19">
        <f>'Teamprofile (8)'!B28</f>
        <v>0</v>
      </c>
      <c r="C29" s="19"/>
      <c r="D29" s="891">
        <v>1</v>
      </c>
      <c r="E29" s="19">
        <f>'Teamprofile (8)'!C28</f>
        <v>1</v>
      </c>
      <c r="F29" s="19"/>
      <c r="G29" s="886">
        <v>0</v>
      </c>
      <c r="H29" s="16">
        <f>'Teamprofile (8)'!D28</f>
        <v>0</v>
      </c>
      <c r="I29" s="16"/>
      <c r="J29" s="891">
        <v>1</v>
      </c>
      <c r="K29" s="19">
        <f>'Teamprofile (8)'!E28</f>
        <v>1</v>
      </c>
      <c r="L29" s="19"/>
      <c r="M29" s="891">
        <v>2</v>
      </c>
      <c r="N29" s="205">
        <v>0</v>
      </c>
      <c r="O29" s="205">
        <v>0</v>
      </c>
      <c r="P29" s="205">
        <v>0</v>
      </c>
      <c r="Q29" s="205">
        <v>0</v>
      </c>
      <c r="R29" s="157">
        <v>0</v>
      </c>
      <c r="S29" s="157">
        <v>0</v>
      </c>
      <c r="T29" s="157">
        <v>0</v>
      </c>
      <c r="U29" s="157">
        <v>0</v>
      </c>
      <c r="V29" s="157">
        <v>0</v>
      </c>
      <c r="W29" s="157">
        <v>0</v>
      </c>
      <c r="X29" s="186">
        <v>1</v>
      </c>
      <c r="Y29" s="186">
        <v>1</v>
      </c>
      <c r="Z29" s="186">
        <v>0</v>
      </c>
      <c r="AA29" s="186">
        <v>0</v>
      </c>
      <c r="AB29" s="289">
        <v>0</v>
      </c>
      <c r="AC29" s="289">
        <v>0</v>
      </c>
      <c r="AD29" s="289">
        <v>0</v>
      </c>
      <c r="AE29" s="289">
        <v>0</v>
      </c>
      <c r="AF29" s="289">
        <v>1</v>
      </c>
      <c r="AG29" s="278">
        <v>2</v>
      </c>
      <c r="AH29" s="278">
        <v>0</v>
      </c>
      <c r="AI29" s="278">
        <v>1</v>
      </c>
      <c r="AJ29" s="278">
        <v>0</v>
      </c>
      <c r="AK29" s="278">
        <v>0</v>
      </c>
      <c r="AL29" s="303">
        <v>2</v>
      </c>
      <c r="AM29" s="303">
        <v>4</v>
      </c>
      <c r="AN29" s="303">
        <v>2</v>
      </c>
      <c r="AO29" s="303">
        <v>1</v>
      </c>
      <c r="AP29" s="313">
        <v>0</v>
      </c>
      <c r="AQ29" s="313">
        <v>0</v>
      </c>
      <c r="AR29" s="313">
        <v>0</v>
      </c>
      <c r="AS29" s="313">
        <v>0</v>
      </c>
      <c r="AT29" s="324">
        <v>0</v>
      </c>
      <c r="AU29" s="324">
        <v>1</v>
      </c>
      <c r="AV29" s="324">
        <v>0</v>
      </c>
      <c r="AW29" s="324">
        <v>0</v>
      </c>
      <c r="AX29" s="324">
        <v>0</v>
      </c>
      <c r="AY29" s="798">
        <v>0</v>
      </c>
      <c r="AZ29" s="798">
        <v>0</v>
      </c>
      <c r="BA29" s="798">
        <v>1</v>
      </c>
      <c r="BB29" s="798">
        <v>0</v>
      </c>
      <c r="BC29" s="803">
        <v>0</v>
      </c>
      <c r="BD29" s="803">
        <v>0</v>
      </c>
      <c r="BE29" s="803">
        <v>0</v>
      </c>
      <c r="BF29" s="803">
        <v>0</v>
      </c>
      <c r="BG29" s="19">
        <v>0</v>
      </c>
      <c r="BH29" s="19">
        <v>0</v>
      </c>
      <c r="BI29" s="19">
        <v>0</v>
      </c>
      <c r="BJ29" s="836">
        <v>0</v>
      </c>
      <c r="BK29" s="19">
        <v>0</v>
      </c>
      <c r="BL29" s="19">
        <v>0</v>
      </c>
      <c r="BM29" s="19">
        <v>0</v>
      </c>
      <c r="BN29" s="19">
        <v>0</v>
      </c>
      <c r="BO29" s="19">
        <v>1</v>
      </c>
      <c r="BP29" s="19">
        <v>0</v>
      </c>
      <c r="BQ29" s="1"/>
      <c r="BT29" s="1"/>
      <c r="BY29" s="194"/>
      <c r="BZ29" s="194"/>
      <c r="CA29" s="194"/>
      <c r="CB29" s="194"/>
      <c r="CC29" s="170"/>
      <c r="CD29" s="170"/>
      <c r="CE29" s="170"/>
      <c r="CF29" s="170"/>
      <c r="CG29" s="170"/>
      <c r="CH29" s="170"/>
      <c r="CI29" s="174"/>
      <c r="CJ29" s="174"/>
      <c r="CK29" s="174"/>
      <c r="CL29" s="174"/>
      <c r="CM29" s="289"/>
      <c r="CN29" s="289"/>
      <c r="CO29" s="289"/>
      <c r="CP29" s="289"/>
      <c r="CQ29" s="289"/>
      <c r="CR29" s="278"/>
      <c r="CS29" s="278"/>
      <c r="CT29" s="278"/>
      <c r="CU29" s="278"/>
      <c r="CV29" s="278"/>
      <c r="CW29" s="303"/>
      <c r="CX29" s="303"/>
      <c r="CY29" s="303"/>
      <c r="CZ29" s="303"/>
      <c r="DA29" s="313"/>
      <c r="DB29" s="313"/>
      <c r="DC29" s="313"/>
      <c r="DD29" s="313"/>
      <c r="DE29" s="324"/>
      <c r="DF29" s="324"/>
      <c r="DG29" s="324"/>
      <c r="DH29" s="324"/>
      <c r="DI29" s="324"/>
      <c r="DJ29" s="798"/>
      <c r="DK29" s="798"/>
      <c r="DL29" s="798"/>
      <c r="DM29" s="798"/>
      <c r="DN29" s="803"/>
      <c r="DO29" s="803"/>
      <c r="DP29" s="803"/>
      <c r="DQ29" s="803"/>
      <c r="DU29" s="840"/>
      <c r="EB29" s="10"/>
    </row>
    <row r="30" spans="1:132">
      <c r="A30" s="1" t="s">
        <v>24</v>
      </c>
      <c r="B30" s="16">
        <f>'Teamprofile (8)'!B29</f>
        <v>0</v>
      </c>
      <c r="C30" s="16"/>
      <c r="D30" s="886">
        <v>0</v>
      </c>
      <c r="E30" s="16">
        <f>'Teamprofile (8)'!C29</f>
        <v>0</v>
      </c>
      <c r="F30" s="16"/>
      <c r="G30" s="886">
        <v>0</v>
      </c>
      <c r="H30" s="16">
        <f>'Teamprofile (8)'!D29</f>
        <v>0</v>
      </c>
      <c r="I30" s="16"/>
      <c r="J30" s="886">
        <v>0</v>
      </c>
      <c r="K30" s="16">
        <f>'Teamprofile (8)'!E29</f>
        <v>0</v>
      </c>
      <c r="L30" s="16"/>
      <c r="M30" s="886">
        <v>0</v>
      </c>
      <c r="N30" s="195">
        <v>0</v>
      </c>
      <c r="O30" s="195">
        <v>0</v>
      </c>
      <c r="P30" s="195">
        <v>0</v>
      </c>
      <c r="Q30" s="195">
        <v>0</v>
      </c>
      <c r="R30" s="156">
        <v>0</v>
      </c>
      <c r="S30" s="156">
        <v>0</v>
      </c>
      <c r="T30" s="598">
        <v>0</v>
      </c>
      <c r="U30" s="598">
        <v>0</v>
      </c>
      <c r="V30" s="156">
        <v>0</v>
      </c>
      <c r="W30" s="156">
        <v>0</v>
      </c>
      <c r="X30" s="175">
        <v>0</v>
      </c>
      <c r="Y30" s="175">
        <v>0</v>
      </c>
      <c r="Z30" s="175">
        <v>0</v>
      </c>
      <c r="AA30" s="175">
        <v>0</v>
      </c>
      <c r="AB30" s="282">
        <v>0</v>
      </c>
      <c r="AC30" s="282">
        <v>0</v>
      </c>
      <c r="AD30" s="282">
        <v>0</v>
      </c>
      <c r="AE30" s="282">
        <v>0</v>
      </c>
      <c r="AF30" s="282">
        <v>0</v>
      </c>
      <c r="AG30" s="271">
        <v>0</v>
      </c>
      <c r="AH30" s="271">
        <v>1</v>
      </c>
      <c r="AI30" s="271">
        <v>0</v>
      </c>
      <c r="AJ30" s="271">
        <v>0</v>
      </c>
      <c r="AK30" s="271">
        <v>0</v>
      </c>
      <c r="AL30" s="297">
        <v>0</v>
      </c>
      <c r="AM30" s="297">
        <v>0</v>
      </c>
      <c r="AN30" s="297">
        <v>0</v>
      </c>
      <c r="AO30" s="297">
        <v>0</v>
      </c>
      <c r="AP30" s="307">
        <v>0</v>
      </c>
      <c r="AQ30" s="307">
        <v>0</v>
      </c>
      <c r="AR30" s="307">
        <v>0</v>
      </c>
      <c r="AS30" s="307">
        <v>0</v>
      </c>
      <c r="AT30" s="317">
        <v>0</v>
      </c>
      <c r="AU30" s="317">
        <v>0</v>
      </c>
      <c r="AV30" s="317">
        <v>0</v>
      </c>
      <c r="AW30" s="317">
        <v>0</v>
      </c>
      <c r="AX30" s="317">
        <v>0</v>
      </c>
      <c r="AY30" s="768">
        <v>0</v>
      </c>
      <c r="AZ30" s="768">
        <v>0</v>
      </c>
      <c r="BA30" s="768">
        <v>1</v>
      </c>
      <c r="BB30" s="768">
        <v>0</v>
      </c>
      <c r="BC30" s="782">
        <v>0</v>
      </c>
      <c r="BD30" s="782">
        <v>0</v>
      </c>
      <c r="BE30" s="782">
        <v>0</v>
      </c>
      <c r="BF30" s="782">
        <v>0</v>
      </c>
      <c r="BG30" s="510">
        <v>0</v>
      </c>
      <c r="BH30" s="510">
        <v>0</v>
      </c>
      <c r="BI30" s="510">
        <v>0</v>
      </c>
      <c r="BJ30" s="823">
        <v>0</v>
      </c>
      <c r="BK30" s="510">
        <v>1</v>
      </c>
      <c r="BL30" s="510">
        <v>0</v>
      </c>
      <c r="BM30" s="510">
        <v>0</v>
      </c>
      <c r="BN30" s="510">
        <v>0</v>
      </c>
      <c r="BO30" s="510">
        <v>0</v>
      </c>
      <c r="BP30" s="510">
        <v>0</v>
      </c>
      <c r="BQ30" s="1"/>
      <c r="BT30" s="1"/>
      <c r="BY30" s="194"/>
      <c r="BZ30" s="194"/>
      <c r="CA30" s="194"/>
      <c r="CB30" s="194"/>
      <c r="CC30" s="170"/>
      <c r="CD30" s="170"/>
      <c r="CE30" s="170"/>
      <c r="CF30" s="170"/>
      <c r="CG30" s="170"/>
      <c r="CH30" s="170"/>
      <c r="CI30" s="174"/>
      <c r="CJ30" s="174"/>
      <c r="CK30" s="174"/>
      <c r="CL30" s="174"/>
      <c r="CM30" s="282"/>
      <c r="CN30" s="282"/>
      <c r="CO30" s="282"/>
      <c r="CP30" s="282"/>
      <c r="CQ30" s="282"/>
      <c r="CR30" s="271"/>
      <c r="CS30" s="271"/>
      <c r="CT30" s="271"/>
      <c r="CU30" s="271"/>
      <c r="CV30" s="271"/>
      <c r="CW30" s="297"/>
      <c r="CX30" s="297"/>
      <c r="CY30" s="297"/>
      <c r="CZ30" s="297"/>
      <c r="DA30" s="307"/>
      <c r="DB30" s="307"/>
      <c r="DC30" s="307"/>
      <c r="DD30" s="307"/>
      <c r="DE30" s="317"/>
      <c r="DF30" s="317"/>
      <c r="DG30" s="317"/>
      <c r="DH30" s="317"/>
      <c r="DI30" s="317"/>
      <c r="DJ30" s="768"/>
      <c r="DK30" s="768"/>
      <c r="DL30" s="768"/>
      <c r="DM30" s="768"/>
      <c r="DN30" s="782"/>
      <c r="DO30" s="782"/>
      <c r="DP30" s="782"/>
      <c r="DQ30" s="782"/>
      <c r="DU30" s="840"/>
      <c r="EB30" s="10"/>
    </row>
    <row r="31" spans="1:132">
      <c r="A31" s="1" t="s">
        <v>23</v>
      </c>
      <c r="B31" s="19">
        <f>'Teamprofile (8)'!B30</f>
        <v>4</v>
      </c>
      <c r="C31" s="19"/>
      <c r="D31" s="884">
        <v>8</v>
      </c>
      <c r="E31" s="19">
        <f>'Teamprofile (8)'!C30</f>
        <v>3</v>
      </c>
      <c r="F31" s="19"/>
      <c r="G31" s="886">
        <v>0</v>
      </c>
      <c r="H31" s="16">
        <f>'Teamprofile (8)'!D30</f>
        <v>0</v>
      </c>
      <c r="I31" s="16"/>
      <c r="J31" s="891">
        <v>4</v>
      </c>
      <c r="K31" s="17">
        <f>'Teamprofile (8)'!E30</f>
        <v>3</v>
      </c>
      <c r="L31" s="17"/>
      <c r="M31" s="891">
        <v>1</v>
      </c>
      <c r="N31" s="205">
        <v>5</v>
      </c>
      <c r="O31" s="205">
        <v>3</v>
      </c>
      <c r="P31" s="195">
        <v>1</v>
      </c>
      <c r="Q31" s="204">
        <v>2</v>
      </c>
      <c r="R31" s="157">
        <v>6</v>
      </c>
      <c r="S31" s="157">
        <v>2</v>
      </c>
      <c r="T31" s="598">
        <v>0</v>
      </c>
      <c r="U31" s="155">
        <v>2</v>
      </c>
      <c r="V31" s="156">
        <v>0</v>
      </c>
      <c r="W31" s="155">
        <v>0</v>
      </c>
      <c r="X31" s="186">
        <v>11</v>
      </c>
      <c r="Y31" s="186">
        <v>6</v>
      </c>
      <c r="Z31" s="175">
        <v>7</v>
      </c>
      <c r="AA31" s="185">
        <v>1</v>
      </c>
      <c r="AB31" s="283">
        <v>6</v>
      </c>
      <c r="AC31" s="283">
        <v>2</v>
      </c>
      <c r="AD31" s="283">
        <v>3</v>
      </c>
      <c r="AE31" s="283">
        <v>0</v>
      </c>
      <c r="AF31" s="283">
        <v>2</v>
      </c>
      <c r="AG31" s="272">
        <v>1</v>
      </c>
      <c r="AH31" s="272">
        <v>1</v>
      </c>
      <c r="AI31" s="272">
        <v>3</v>
      </c>
      <c r="AJ31" s="272">
        <v>2</v>
      </c>
      <c r="AK31" s="272">
        <v>2</v>
      </c>
      <c r="AL31" s="298">
        <v>4</v>
      </c>
      <c r="AM31" s="298">
        <v>5</v>
      </c>
      <c r="AN31" s="298">
        <v>2</v>
      </c>
      <c r="AO31" s="298">
        <v>2</v>
      </c>
      <c r="AP31" s="308">
        <v>4</v>
      </c>
      <c r="AQ31" s="308">
        <v>0</v>
      </c>
      <c r="AR31" s="308">
        <v>0</v>
      </c>
      <c r="AS31" s="308">
        <v>1</v>
      </c>
      <c r="AT31" s="318">
        <v>0</v>
      </c>
      <c r="AU31" s="318">
        <v>0</v>
      </c>
      <c r="AV31" s="318">
        <v>0</v>
      </c>
      <c r="AW31" s="318">
        <v>0</v>
      </c>
      <c r="AX31" s="318">
        <v>1</v>
      </c>
      <c r="AY31" s="778">
        <v>2</v>
      </c>
      <c r="AZ31" s="778">
        <v>0</v>
      </c>
      <c r="BA31" s="778">
        <v>1</v>
      </c>
      <c r="BB31" s="778">
        <v>5</v>
      </c>
      <c r="BC31" s="792">
        <v>1</v>
      </c>
      <c r="BD31" s="792">
        <v>1</v>
      </c>
      <c r="BE31" s="792">
        <v>2</v>
      </c>
      <c r="BF31" s="792">
        <v>1</v>
      </c>
      <c r="BG31" s="19">
        <v>1</v>
      </c>
      <c r="BH31" s="19">
        <v>0</v>
      </c>
      <c r="BI31" s="510">
        <v>1</v>
      </c>
      <c r="BJ31" s="825">
        <v>1</v>
      </c>
      <c r="BK31" s="19">
        <v>2</v>
      </c>
      <c r="BL31" s="19">
        <v>0</v>
      </c>
      <c r="BM31" s="510">
        <v>0</v>
      </c>
      <c r="BN31" s="17">
        <v>2</v>
      </c>
      <c r="BO31" s="510">
        <v>2</v>
      </c>
      <c r="BP31" s="17">
        <v>0</v>
      </c>
      <c r="BQ31" s="1"/>
      <c r="BT31" s="1"/>
      <c r="BY31" s="194"/>
      <c r="BZ31" s="194"/>
      <c r="CA31" s="194"/>
      <c r="CB31" s="194"/>
      <c r="CC31" s="170"/>
      <c r="CD31" s="170"/>
      <c r="CE31" s="170"/>
      <c r="CF31" s="170"/>
      <c r="CG31" s="170"/>
      <c r="CH31" s="170"/>
      <c r="CI31" s="174"/>
      <c r="CJ31" s="174"/>
      <c r="CK31" s="174"/>
      <c r="CL31" s="174"/>
      <c r="CM31" s="283"/>
      <c r="CN31" s="283"/>
      <c r="CO31" s="283"/>
      <c r="CP31" s="283"/>
      <c r="CQ31" s="283"/>
      <c r="CR31" s="272"/>
      <c r="CS31" s="272"/>
      <c r="CT31" s="272"/>
      <c r="CU31" s="272"/>
      <c r="CV31" s="272"/>
      <c r="CW31" s="298"/>
      <c r="CX31" s="298"/>
      <c r="CY31" s="298"/>
      <c r="CZ31" s="298"/>
      <c r="DA31" s="308"/>
      <c r="DB31" s="308"/>
      <c r="DC31" s="308"/>
      <c r="DD31" s="308"/>
      <c r="DE31" s="318"/>
      <c r="DF31" s="318"/>
      <c r="DG31" s="318"/>
      <c r="DH31" s="318"/>
      <c r="DI31" s="318"/>
      <c r="DJ31" s="778"/>
      <c r="DK31" s="778"/>
      <c r="DL31" s="778"/>
      <c r="DM31" s="778"/>
      <c r="DN31" s="792"/>
      <c r="DO31" s="792"/>
      <c r="DP31" s="792"/>
      <c r="DQ31" s="792"/>
      <c r="DU31" s="840"/>
      <c r="EB31" s="10"/>
    </row>
    <row r="32" spans="1:132">
      <c r="A32" s="25" t="s">
        <v>22</v>
      </c>
      <c r="B32" s="915">
        <f>'Teamprofile (8)'!B31</f>
        <v>6.8965517241379309E-2</v>
      </c>
      <c r="C32" s="509"/>
      <c r="D32" s="894">
        <v>0.11764705882352941</v>
      </c>
      <c r="E32" s="655">
        <f>'Teamprofile (8)'!C31</f>
        <v>5.6603773584905662E-2</v>
      </c>
      <c r="F32" s="509"/>
      <c r="G32" s="893">
        <v>0</v>
      </c>
      <c r="H32" s="915">
        <f>'Teamprofile (8)'!D31</f>
        <v>0</v>
      </c>
      <c r="I32" s="509"/>
      <c r="J32" s="894">
        <v>6.8965517241379309E-2</v>
      </c>
      <c r="K32" s="655">
        <f>'Teamprofile (8)'!E31</f>
        <v>5.7692307692307696E-2</v>
      </c>
      <c r="L32" s="509"/>
      <c r="M32" s="893">
        <v>3.8461538461538464E-2</v>
      </c>
      <c r="N32" s="198">
        <f>N31/N38</f>
        <v>0.10416666666666667</v>
      </c>
      <c r="O32" s="198">
        <f>O31/O38</f>
        <v>6.25E-2</v>
      </c>
      <c r="P32" s="196">
        <f>P31/P38</f>
        <v>2.1276595744680851E-2</v>
      </c>
      <c r="Q32" s="197">
        <f>Q31/Q38</f>
        <v>4.2553191489361701E-2</v>
      </c>
      <c r="R32" s="160">
        <f t="shared" ref="R32:AA32" si="102">R31/R38</f>
        <v>0.1</v>
      </c>
      <c r="S32" s="160">
        <f t="shared" si="102"/>
        <v>4.878048780487805E-2</v>
      </c>
      <c r="T32" s="158">
        <f t="shared" ref="T32:U32" si="103">T31/T38</f>
        <v>0</v>
      </c>
      <c r="U32" s="159">
        <f t="shared" si="103"/>
        <v>6.0606060606060608E-2</v>
      </c>
      <c r="V32" s="158">
        <f t="shared" si="102"/>
        <v>0</v>
      </c>
      <c r="W32" s="159">
        <f t="shared" si="102"/>
        <v>0</v>
      </c>
      <c r="X32" s="178">
        <f t="shared" si="102"/>
        <v>0.18333333333333332</v>
      </c>
      <c r="Y32" s="178">
        <f t="shared" si="102"/>
        <v>0.10526315789473684</v>
      </c>
      <c r="Z32" s="176">
        <f t="shared" si="102"/>
        <v>0.14000000000000001</v>
      </c>
      <c r="AA32" s="177">
        <f t="shared" si="102"/>
        <v>2.3809523809523808E-2</v>
      </c>
      <c r="AB32" s="288">
        <f t="shared" ref="AB32:AF32" si="104">AB31/AB38</f>
        <v>0.13333333333333333</v>
      </c>
      <c r="AC32" s="288">
        <f t="shared" si="104"/>
        <v>0.16666666666666666</v>
      </c>
      <c r="AD32" s="288">
        <f t="shared" si="104"/>
        <v>0.13043478260869565</v>
      </c>
      <c r="AE32" s="288">
        <f t="shared" si="104"/>
        <v>0</v>
      </c>
      <c r="AF32" s="288">
        <f t="shared" si="104"/>
        <v>7.1428571428571425E-2</v>
      </c>
      <c r="AG32" s="277">
        <f t="shared" ref="AG32:AO32" si="105">AG31/AG38</f>
        <v>2.4390243902439025E-2</v>
      </c>
      <c r="AH32" s="277">
        <f t="shared" si="105"/>
        <v>3.4482758620689655E-2</v>
      </c>
      <c r="AI32" s="277">
        <f t="shared" ref="AI32" si="106">AI31/AI38</f>
        <v>7.4999999999999997E-2</v>
      </c>
      <c r="AJ32" s="277">
        <f t="shared" si="105"/>
        <v>4.878048780487805E-2</v>
      </c>
      <c r="AK32" s="277">
        <f t="shared" si="105"/>
        <v>7.407407407407407E-2</v>
      </c>
      <c r="AL32" s="292">
        <f t="shared" si="105"/>
        <v>8.5106382978723402E-2</v>
      </c>
      <c r="AM32" s="292">
        <f t="shared" si="105"/>
        <v>0.10638297872340426</v>
      </c>
      <c r="AN32" s="292">
        <f t="shared" si="105"/>
        <v>4.4444444444444446E-2</v>
      </c>
      <c r="AO32" s="292">
        <f t="shared" si="105"/>
        <v>4.3478260869565216E-2</v>
      </c>
      <c r="AP32" s="295">
        <f t="shared" ref="AP32:AS32" si="107">AP31/AP38</f>
        <v>8.8888888888888892E-2</v>
      </c>
      <c r="AQ32" s="295">
        <f t="shared" si="107"/>
        <v>0</v>
      </c>
      <c r="AR32" s="295">
        <f t="shared" si="107"/>
        <v>0</v>
      </c>
      <c r="AS32" s="295">
        <f t="shared" si="107"/>
        <v>3.0303030303030304E-2</v>
      </c>
      <c r="AT32" s="323">
        <f t="shared" ref="AT32:BF32" si="108">AT31/AT38</f>
        <v>0</v>
      </c>
      <c r="AU32" s="323">
        <f t="shared" si="108"/>
        <v>0</v>
      </c>
      <c r="AV32" s="323">
        <f t="shared" si="108"/>
        <v>0</v>
      </c>
      <c r="AW32" s="323">
        <f t="shared" si="108"/>
        <v>0</v>
      </c>
      <c r="AX32" s="323">
        <f t="shared" si="108"/>
        <v>3.3333333333333333E-2</v>
      </c>
      <c r="AY32" s="777">
        <f t="shared" si="108"/>
        <v>5.2631578947368418E-2</v>
      </c>
      <c r="AZ32" s="777">
        <f t="shared" si="108"/>
        <v>0</v>
      </c>
      <c r="BA32" s="777">
        <f t="shared" si="108"/>
        <v>2.7777777777777776E-2</v>
      </c>
      <c r="BB32" s="777">
        <f t="shared" si="108"/>
        <v>0.13513513513513514</v>
      </c>
      <c r="BC32" s="791">
        <f t="shared" si="108"/>
        <v>2.5000000000000001E-2</v>
      </c>
      <c r="BD32" s="791">
        <f t="shared" si="108"/>
        <v>2.6315789473684209E-2</v>
      </c>
      <c r="BE32" s="791">
        <f t="shared" si="108"/>
        <v>6.25E-2</v>
      </c>
      <c r="BF32" s="791">
        <f t="shared" si="108"/>
        <v>3.5714285714285712E-2</v>
      </c>
      <c r="BG32" s="11">
        <f>BG31/BG38</f>
        <v>2.4390243902439025E-2</v>
      </c>
      <c r="BH32" s="11">
        <f>BH31/BH38</f>
        <v>0</v>
      </c>
      <c r="BI32" s="507">
        <f>BI31/BI38</f>
        <v>3.125E-2</v>
      </c>
      <c r="BJ32" s="835">
        <f>BJ31/BJ38</f>
        <v>3.7037037037037035E-2</v>
      </c>
      <c r="BK32" s="11">
        <f t="shared" ref="BK32:BP32" si="109">BK31/BK38</f>
        <v>7.407407407407407E-2</v>
      </c>
      <c r="BL32" s="11">
        <f t="shared" si="109"/>
        <v>0</v>
      </c>
      <c r="BM32" s="507">
        <f t="shared" si="109"/>
        <v>0</v>
      </c>
      <c r="BN32" s="509">
        <f t="shared" si="109"/>
        <v>0.14285714285714285</v>
      </c>
      <c r="BO32" s="507">
        <f t="shared" si="109"/>
        <v>0.11764705882352941</v>
      </c>
      <c r="BP32" s="509">
        <f t="shared" si="109"/>
        <v>0</v>
      </c>
      <c r="BQ32" s="1"/>
      <c r="BT32" s="1"/>
      <c r="BY32" s="194"/>
      <c r="BZ32" s="194"/>
      <c r="CA32" s="194"/>
      <c r="CB32" s="194"/>
      <c r="CC32" s="170"/>
      <c r="CD32" s="170"/>
      <c r="CE32" s="170"/>
      <c r="CF32" s="170"/>
      <c r="CG32" s="170"/>
      <c r="CH32" s="170"/>
      <c r="CI32" s="174"/>
      <c r="CJ32" s="174"/>
      <c r="CK32" s="174"/>
      <c r="CL32" s="174"/>
      <c r="CM32" s="288"/>
      <c r="CN32" s="288"/>
      <c r="CO32" s="288"/>
      <c r="CP32" s="288"/>
      <c r="CQ32" s="288"/>
      <c r="CR32" s="277"/>
      <c r="CS32" s="277"/>
      <c r="CT32" s="277"/>
      <c r="CU32" s="277"/>
      <c r="CV32" s="277"/>
      <c r="CW32" s="292"/>
      <c r="CX32" s="292"/>
      <c r="CY32" s="292"/>
      <c r="CZ32" s="292"/>
      <c r="DA32" s="295"/>
      <c r="DB32" s="295"/>
      <c r="DC32" s="295"/>
      <c r="DD32" s="295"/>
      <c r="DE32" s="323"/>
      <c r="DF32" s="323"/>
      <c r="DG32" s="323"/>
      <c r="DH32" s="323"/>
      <c r="DI32" s="323"/>
      <c r="DJ32" s="777"/>
      <c r="DK32" s="777"/>
      <c r="DL32" s="777"/>
      <c r="DM32" s="777"/>
      <c r="DN32" s="791"/>
      <c r="DO32" s="791"/>
      <c r="DP32" s="791"/>
      <c r="DQ32" s="791"/>
      <c r="DU32" s="840"/>
      <c r="EB32" s="10"/>
    </row>
    <row r="33" spans="1:132">
      <c r="A33" s="1" t="s">
        <v>21</v>
      </c>
      <c r="B33" s="19">
        <f>'Teamprofile (8)'!B32</f>
        <v>4</v>
      </c>
      <c r="C33" s="19"/>
      <c r="D33" s="886">
        <v>3</v>
      </c>
      <c r="E33" s="19">
        <f>'Teamprofile (8)'!C32</f>
        <v>6</v>
      </c>
      <c r="F33" s="19"/>
      <c r="G33" s="884">
        <v>2</v>
      </c>
      <c r="H33" s="17">
        <f>'Teamprofile (8)'!D32</f>
        <v>1</v>
      </c>
      <c r="I33" s="17"/>
      <c r="J33" s="891">
        <v>3</v>
      </c>
      <c r="K33" s="16">
        <f>'Teamprofile (8)'!E32</f>
        <v>2</v>
      </c>
      <c r="L33" s="16"/>
      <c r="M33" s="891">
        <v>1</v>
      </c>
      <c r="N33" s="205">
        <v>6</v>
      </c>
      <c r="O33" s="205">
        <v>4</v>
      </c>
      <c r="P33" s="204">
        <v>2</v>
      </c>
      <c r="Q33" s="195">
        <v>2</v>
      </c>
      <c r="R33" s="157">
        <v>6</v>
      </c>
      <c r="S33" s="157">
        <v>2</v>
      </c>
      <c r="T33" s="155">
        <v>1</v>
      </c>
      <c r="U33" s="598">
        <v>2</v>
      </c>
      <c r="V33" s="155">
        <v>2</v>
      </c>
      <c r="W33" s="156">
        <v>0</v>
      </c>
      <c r="X33" s="186">
        <v>8</v>
      </c>
      <c r="Y33" s="186">
        <v>2</v>
      </c>
      <c r="Z33" s="185">
        <v>4</v>
      </c>
      <c r="AA33" s="175">
        <v>2</v>
      </c>
      <c r="AB33" s="282">
        <v>3</v>
      </c>
      <c r="AC33" s="282">
        <v>0</v>
      </c>
      <c r="AD33" s="282">
        <v>7</v>
      </c>
      <c r="AE33" s="282">
        <v>1</v>
      </c>
      <c r="AF33" s="282">
        <v>1</v>
      </c>
      <c r="AG33" s="271">
        <v>3</v>
      </c>
      <c r="AH33" s="271">
        <v>1</v>
      </c>
      <c r="AI33" s="271">
        <v>4</v>
      </c>
      <c r="AJ33" s="271">
        <v>1</v>
      </c>
      <c r="AK33" s="271">
        <v>0</v>
      </c>
      <c r="AL33" s="297">
        <v>2</v>
      </c>
      <c r="AM33" s="297">
        <v>2</v>
      </c>
      <c r="AN33" s="297">
        <v>3</v>
      </c>
      <c r="AO33" s="297">
        <v>4</v>
      </c>
      <c r="AP33" s="307">
        <v>5</v>
      </c>
      <c r="AQ33" s="307">
        <v>1</v>
      </c>
      <c r="AR33" s="307">
        <v>0</v>
      </c>
      <c r="AS33" s="307">
        <v>3</v>
      </c>
      <c r="AT33" s="317">
        <v>3</v>
      </c>
      <c r="AU33" s="317">
        <v>2</v>
      </c>
      <c r="AV33" s="317">
        <v>0</v>
      </c>
      <c r="AW33" s="317">
        <v>1</v>
      </c>
      <c r="AX33" s="317">
        <v>2</v>
      </c>
      <c r="AY33" s="768">
        <v>1</v>
      </c>
      <c r="AZ33" s="768">
        <v>0</v>
      </c>
      <c r="BA33" s="768">
        <v>1</v>
      </c>
      <c r="BB33" s="768">
        <v>3</v>
      </c>
      <c r="BC33" s="782">
        <v>0</v>
      </c>
      <c r="BD33" s="782">
        <v>1</v>
      </c>
      <c r="BE33" s="782">
        <v>2</v>
      </c>
      <c r="BF33" s="782">
        <v>0</v>
      </c>
      <c r="BG33" s="19">
        <v>0</v>
      </c>
      <c r="BH33" s="19">
        <v>2</v>
      </c>
      <c r="BI33" s="17">
        <v>1</v>
      </c>
      <c r="BJ33" s="823">
        <v>1</v>
      </c>
      <c r="BK33" s="19">
        <v>2</v>
      </c>
      <c r="BL33" s="19">
        <v>0</v>
      </c>
      <c r="BM33" s="17">
        <v>1</v>
      </c>
      <c r="BN33" s="510">
        <v>2</v>
      </c>
      <c r="BO33" s="17">
        <v>2</v>
      </c>
      <c r="BP33" s="510">
        <v>1</v>
      </c>
      <c r="BQ33" s="1"/>
      <c r="BT33" s="1"/>
      <c r="BY33" s="194"/>
      <c r="BZ33" s="194"/>
      <c r="CA33" s="194"/>
      <c r="CB33" s="194"/>
      <c r="CC33" s="170"/>
      <c r="CD33" s="170"/>
      <c r="CE33" s="170"/>
      <c r="CF33" s="170"/>
      <c r="CG33" s="170"/>
      <c r="CH33" s="170"/>
      <c r="CI33" s="174"/>
      <c r="CJ33" s="174"/>
      <c r="CK33" s="174"/>
      <c r="CL33" s="174"/>
      <c r="CM33" s="282"/>
      <c r="CN33" s="282"/>
      <c r="CO33" s="282"/>
      <c r="CP33" s="282"/>
      <c r="CQ33" s="282"/>
      <c r="CR33" s="271"/>
      <c r="CS33" s="271"/>
      <c r="CT33" s="271"/>
      <c r="CU33" s="271"/>
      <c r="CV33" s="271"/>
      <c r="CW33" s="297"/>
      <c r="CX33" s="297"/>
      <c r="CY33" s="297"/>
      <c r="CZ33" s="297"/>
      <c r="DA33" s="307"/>
      <c r="DB33" s="307"/>
      <c r="DC33" s="307"/>
      <c r="DD33" s="307"/>
      <c r="DE33" s="317"/>
      <c r="DF33" s="317"/>
      <c r="DG33" s="317"/>
      <c r="DH33" s="317"/>
      <c r="DI33" s="317"/>
      <c r="DJ33" s="768"/>
      <c r="DK33" s="768"/>
      <c r="DL33" s="768"/>
      <c r="DM33" s="768"/>
      <c r="DN33" s="782"/>
      <c r="DO33" s="782"/>
      <c r="DP33" s="782"/>
      <c r="DQ33" s="782"/>
      <c r="DU33" s="840"/>
      <c r="EB33" s="10"/>
    </row>
    <row r="34" spans="1:132">
      <c r="A34" s="25" t="s">
        <v>20</v>
      </c>
      <c r="B34" s="655">
        <f>'Teamprofile (8)'!B33</f>
        <v>6.8965517241379309E-2</v>
      </c>
      <c r="C34" s="509"/>
      <c r="D34" s="893">
        <v>4.4117647058823532E-2</v>
      </c>
      <c r="E34" s="655">
        <f>'Teamprofile (8)'!C33</f>
        <v>0.11320754716981132</v>
      </c>
      <c r="F34" s="509"/>
      <c r="G34" s="893">
        <v>6.6666666666666666E-2</v>
      </c>
      <c r="H34" s="915">
        <f>'Teamprofile (8)'!D33</f>
        <v>1.6949152542372881E-2</v>
      </c>
      <c r="I34" s="509"/>
      <c r="J34" s="894">
        <v>5.1724137931034482E-2</v>
      </c>
      <c r="K34" s="655">
        <f>'Teamprofile (8)'!E33</f>
        <v>3.8461538461538464E-2</v>
      </c>
      <c r="L34" s="509"/>
      <c r="M34" s="893">
        <v>3.8461538461538464E-2</v>
      </c>
      <c r="N34" s="198">
        <f>N33/N38</f>
        <v>0.125</v>
      </c>
      <c r="O34" s="198">
        <f>O33/O38</f>
        <v>8.3333333333333329E-2</v>
      </c>
      <c r="P34" s="197">
        <f>P33/P38</f>
        <v>4.2553191489361701E-2</v>
      </c>
      <c r="Q34" s="196">
        <f>Q33/Q38</f>
        <v>4.2553191489361701E-2</v>
      </c>
      <c r="R34" s="160">
        <f t="shared" ref="R34:AA34" si="110">R33/R38</f>
        <v>0.1</v>
      </c>
      <c r="S34" s="160">
        <f t="shared" si="110"/>
        <v>4.878048780487805E-2</v>
      </c>
      <c r="T34" s="159">
        <f t="shared" ref="T34:U34" si="111">T33/T38</f>
        <v>2.8571428571428571E-2</v>
      </c>
      <c r="U34" s="158">
        <f t="shared" si="111"/>
        <v>6.0606060606060608E-2</v>
      </c>
      <c r="V34" s="159">
        <f t="shared" si="110"/>
        <v>7.6923076923076927E-2</v>
      </c>
      <c r="W34" s="158">
        <f t="shared" si="110"/>
        <v>0</v>
      </c>
      <c r="X34" s="178">
        <f t="shared" si="110"/>
        <v>0.13333333333333333</v>
      </c>
      <c r="Y34" s="178">
        <f t="shared" si="110"/>
        <v>3.5087719298245612E-2</v>
      </c>
      <c r="Z34" s="177">
        <f t="shared" si="110"/>
        <v>0.08</v>
      </c>
      <c r="AA34" s="176">
        <f t="shared" si="110"/>
        <v>4.7619047619047616E-2</v>
      </c>
      <c r="AB34" s="287">
        <f t="shared" ref="AB34:AF34" si="112">AB33/AB38</f>
        <v>6.6666666666666666E-2</v>
      </c>
      <c r="AC34" s="287">
        <f t="shared" si="112"/>
        <v>0</v>
      </c>
      <c r="AD34" s="287">
        <f t="shared" si="112"/>
        <v>0.30434782608695654</v>
      </c>
      <c r="AE34" s="287">
        <f t="shared" si="112"/>
        <v>3.3333333333333333E-2</v>
      </c>
      <c r="AF34" s="287">
        <f t="shared" si="112"/>
        <v>3.5714285714285712E-2</v>
      </c>
      <c r="AG34" s="276">
        <f t="shared" ref="AG34:AO34" si="113">AG33/AG38</f>
        <v>7.3170731707317069E-2</v>
      </c>
      <c r="AH34" s="276">
        <f t="shared" si="113"/>
        <v>3.4482758620689655E-2</v>
      </c>
      <c r="AI34" s="276">
        <f t="shared" ref="AI34" si="114">AI33/AI38</f>
        <v>0.1</v>
      </c>
      <c r="AJ34" s="276">
        <f t="shared" si="113"/>
        <v>2.4390243902439025E-2</v>
      </c>
      <c r="AK34" s="276">
        <f t="shared" si="113"/>
        <v>0</v>
      </c>
      <c r="AL34" s="302">
        <f t="shared" si="113"/>
        <v>4.2553191489361701E-2</v>
      </c>
      <c r="AM34" s="302">
        <f t="shared" si="113"/>
        <v>4.2553191489361701E-2</v>
      </c>
      <c r="AN34" s="302">
        <f t="shared" si="113"/>
        <v>6.6666666666666666E-2</v>
      </c>
      <c r="AO34" s="302">
        <f t="shared" si="113"/>
        <v>8.6956521739130432E-2</v>
      </c>
      <c r="AP34" s="312">
        <f t="shared" ref="AP34:AS34" si="115">AP33/AP38</f>
        <v>0.1111111111111111</v>
      </c>
      <c r="AQ34" s="312">
        <f t="shared" si="115"/>
        <v>2.4390243902439025E-2</v>
      </c>
      <c r="AR34" s="312">
        <f t="shared" si="115"/>
        <v>0</v>
      </c>
      <c r="AS34" s="312">
        <f t="shared" si="115"/>
        <v>9.0909090909090912E-2</v>
      </c>
      <c r="AT34" s="322">
        <f t="shared" ref="AT34:BF34" si="116">AT33/AT38</f>
        <v>0.12</v>
      </c>
      <c r="AU34" s="322">
        <f t="shared" si="116"/>
        <v>7.1428571428571425E-2</v>
      </c>
      <c r="AV34" s="322">
        <f t="shared" si="116"/>
        <v>0</v>
      </c>
      <c r="AW34" s="322">
        <f t="shared" si="116"/>
        <v>3.5714285714285712E-2</v>
      </c>
      <c r="AX34" s="322">
        <f t="shared" si="116"/>
        <v>6.6666666666666666E-2</v>
      </c>
      <c r="AY34" s="775">
        <f t="shared" si="116"/>
        <v>2.6315789473684209E-2</v>
      </c>
      <c r="AZ34" s="775">
        <f t="shared" si="116"/>
        <v>0</v>
      </c>
      <c r="BA34" s="775">
        <f t="shared" si="116"/>
        <v>2.7777777777777776E-2</v>
      </c>
      <c r="BB34" s="775">
        <f t="shared" si="116"/>
        <v>8.1081081081081086E-2</v>
      </c>
      <c r="BC34" s="789">
        <f t="shared" si="116"/>
        <v>0</v>
      </c>
      <c r="BD34" s="789">
        <f t="shared" si="116"/>
        <v>2.6315789473684209E-2</v>
      </c>
      <c r="BE34" s="789">
        <f t="shared" si="116"/>
        <v>6.25E-2</v>
      </c>
      <c r="BF34" s="789">
        <f t="shared" si="116"/>
        <v>0</v>
      </c>
      <c r="BG34" s="11">
        <f>BG33/BG38</f>
        <v>0</v>
      </c>
      <c r="BH34" s="11">
        <f>BH33/BH38</f>
        <v>5.7142857142857141E-2</v>
      </c>
      <c r="BI34" s="509">
        <f>BI33/BI38</f>
        <v>3.125E-2</v>
      </c>
      <c r="BJ34" s="832">
        <f>BJ33/BJ38</f>
        <v>3.7037037037037035E-2</v>
      </c>
      <c r="BK34" s="11">
        <f t="shared" ref="BK34:BP34" si="117">BK33/BK38</f>
        <v>7.407407407407407E-2</v>
      </c>
      <c r="BL34" s="11">
        <f t="shared" si="117"/>
        <v>0</v>
      </c>
      <c r="BM34" s="509">
        <f t="shared" si="117"/>
        <v>0.04</v>
      </c>
      <c r="BN34" s="507">
        <f t="shared" si="117"/>
        <v>0.14285714285714285</v>
      </c>
      <c r="BO34" s="509">
        <f t="shared" si="117"/>
        <v>0.11764705882352941</v>
      </c>
      <c r="BP34" s="507">
        <f t="shared" si="117"/>
        <v>0.1</v>
      </c>
      <c r="BQ34" s="1"/>
      <c r="BT34" s="1"/>
      <c r="BY34" s="194"/>
      <c r="BZ34" s="194"/>
      <c r="CA34" s="194"/>
      <c r="CB34" s="194"/>
      <c r="CC34" s="170"/>
      <c r="CD34" s="170"/>
      <c r="CE34" s="170"/>
      <c r="CF34" s="170"/>
      <c r="CG34" s="170"/>
      <c r="CH34" s="170"/>
      <c r="CI34" s="174"/>
      <c r="CJ34" s="174"/>
      <c r="CK34" s="174"/>
      <c r="CL34" s="174"/>
      <c r="CM34" s="287"/>
      <c r="CN34" s="287"/>
      <c r="CO34" s="287"/>
      <c r="CP34" s="287"/>
      <c r="CQ34" s="287"/>
      <c r="CR34" s="276"/>
      <c r="CS34" s="276"/>
      <c r="CT34" s="276"/>
      <c r="CU34" s="276"/>
      <c r="CV34" s="276"/>
      <c r="CW34" s="302"/>
      <c r="CX34" s="302"/>
      <c r="CY34" s="302"/>
      <c r="CZ34" s="302"/>
      <c r="DA34" s="312"/>
      <c r="DB34" s="312"/>
      <c r="DC34" s="312"/>
      <c r="DD34" s="312"/>
      <c r="DE34" s="322"/>
      <c r="DF34" s="322"/>
      <c r="DG34" s="322"/>
      <c r="DH34" s="322"/>
      <c r="DI34" s="322"/>
      <c r="DJ34" s="775"/>
      <c r="DK34" s="775"/>
      <c r="DL34" s="775"/>
      <c r="DM34" s="775"/>
      <c r="DN34" s="789"/>
      <c r="DO34" s="789"/>
      <c r="DP34" s="789"/>
      <c r="DQ34" s="789"/>
      <c r="DU34" s="840"/>
      <c r="EB34" s="10"/>
    </row>
    <row r="35" spans="1:132">
      <c r="A35" s="1" t="s">
        <v>19</v>
      </c>
      <c r="B35" s="19">
        <f>'Teamprofile (8)'!B34</f>
        <v>7</v>
      </c>
      <c r="C35" s="19"/>
      <c r="D35" s="886">
        <v>1</v>
      </c>
      <c r="E35" s="19">
        <f>'Teamprofile (8)'!C34</f>
        <v>1</v>
      </c>
      <c r="F35" s="19"/>
      <c r="G35" s="884">
        <v>1</v>
      </c>
      <c r="H35" s="17">
        <f>'Teamprofile (8)'!D34</f>
        <v>3</v>
      </c>
      <c r="I35" s="17"/>
      <c r="J35" s="891">
        <v>4</v>
      </c>
      <c r="K35" s="16">
        <f>'Teamprofile (8)'!E34</f>
        <v>1</v>
      </c>
      <c r="L35" s="16"/>
      <c r="M35" s="891">
        <v>0</v>
      </c>
      <c r="N35" s="205">
        <v>2</v>
      </c>
      <c r="O35" s="205">
        <v>7</v>
      </c>
      <c r="P35" s="204">
        <v>8</v>
      </c>
      <c r="Q35" s="195">
        <v>6</v>
      </c>
      <c r="R35" s="157">
        <v>5</v>
      </c>
      <c r="S35" s="157">
        <v>0</v>
      </c>
      <c r="T35" s="155">
        <v>3</v>
      </c>
      <c r="U35" s="598">
        <v>2</v>
      </c>
      <c r="V35" s="155">
        <v>1</v>
      </c>
      <c r="W35" s="156">
        <v>2</v>
      </c>
      <c r="X35" s="186">
        <v>2</v>
      </c>
      <c r="Y35" s="186">
        <v>6</v>
      </c>
      <c r="Z35" s="185">
        <v>5</v>
      </c>
      <c r="AA35" s="175">
        <v>2</v>
      </c>
      <c r="AB35" s="282">
        <v>8</v>
      </c>
      <c r="AC35" s="282">
        <v>0</v>
      </c>
      <c r="AD35" s="282">
        <v>0</v>
      </c>
      <c r="AE35" s="282">
        <v>0</v>
      </c>
      <c r="AF35" s="282">
        <v>3</v>
      </c>
      <c r="AG35" s="271">
        <v>1</v>
      </c>
      <c r="AH35" s="271">
        <v>1</v>
      </c>
      <c r="AI35" s="271">
        <v>0</v>
      </c>
      <c r="AJ35" s="271">
        <v>3</v>
      </c>
      <c r="AK35" s="271">
        <v>1</v>
      </c>
      <c r="AL35" s="297">
        <v>1</v>
      </c>
      <c r="AM35" s="297">
        <v>1</v>
      </c>
      <c r="AN35" s="297">
        <v>2</v>
      </c>
      <c r="AO35" s="297">
        <v>5</v>
      </c>
      <c r="AP35" s="307">
        <v>3</v>
      </c>
      <c r="AQ35" s="307">
        <v>1</v>
      </c>
      <c r="AR35" s="307">
        <v>0</v>
      </c>
      <c r="AS35" s="307">
        <v>1</v>
      </c>
      <c r="AT35" s="317">
        <v>0</v>
      </c>
      <c r="AU35" s="317">
        <v>0</v>
      </c>
      <c r="AV35" s="317">
        <v>0</v>
      </c>
      <c r="AW35" s="317">
        <v>2</v>
      </c>
      <c r="AX35" s="317">
        <v>0</v>
      </c>
      <c r="AY35" s="768">
        <v>0</v>
      </c>
      <c r="AZ35" s="768">
        <v>1</v>
      </c>
      <c r="BA35" s="768">
        <v>0</v>
      </c>
      <c r="BB35" s="768">
        <v>2</v>
      </c>
      <c r="BC35" s="782">
        <v>6</v>
      </c>
      <c r="BD35" s="782">
        <v>2</v>
      </c>
      <c r="BE35" s="782">
        <v>2</v>
      </c>
      <c r="BF35" s="782">
        <v>0</v>
      </c>
      <c r="BG35" s="19">
        <v>4</v>
      </c>
      <c r="BH35" s="19">
        <v>1</v>
      </c>
      <c r="BI35" s="17">
        <v>2</v>
      </c>
      <c r="BJ35" s="823">
        <v>0</v>
      </c>
      <c r="BK35" s="19">
        <v>0</v>
      </c>
      <c r="BL35" s="19">
        <v>1</v>
      </c>
      <c r="BM35" s="17">
        <v>1</v>
      </c>
      <c r="BN35" s="510">
        <v>0</v>
      </c>
      <c r="BO35" s="17">
        <v>3</v>
      </c>
      <c r="BP35" s="510">
        <v>3</v>
      </c>
      <c r="BQ35" s="1"/>
      <c r="BT35" s="1"/>
      <c r="BY35" s="194"/>
      <c r="BZ35" s="194"/>
      <c r="CA35" s="194"/>
      <c r="CB35" s="194"/>
      <c r="CC35" s="170"/>
      <c r="CD35" s="170"/>
      <c r="CE35" s="170"/>
      <c r="CF35" s="170"/>
      <c r="CG35" s="170"/>
      <c r="CH35" s="170"/>
      <c r="CI35" s="174"/>
      <c r="CJ35" s="174"/>
      <c r="CK35" s="174"/>
      <c r="CL35" s="174"/>
      <c r="CM35" s="282"/>
      <c r="CN35" s="282"/>
      <c r="CO35" s="282"/>
      <c r="CP35" s="282"/>
      <c r="CQ35" s="282"/>
      <c r="CR35" s="271"/>
      <c r="CS35" s="271"/>
      <c r="CT35" s="271"/>
      <c r="CU35" s="271"/>
      <c r="CV35" s="271"/>
      <c r="CW35" s="297"/>
      <c r="CX35" s="297"/>
      <c r="CY35" s="297"/>
      <c r="CZ35" s="297"/>
      <c r="DA35" s="307"/>
      <c r="DB35" s="307"/>
      <c r="DC35" s="307"/>
      <c r="DD35" s="307"/>
      <c r="DE35" s="317"/>
      <c r="DF35" s="317"/>
      <c r="DG35" s="317"/>
      <c r="DH35" s="317"/>
      <c r="DI35" s="317"/>
      <c r="DJ35" s="768"/>
      <c r="DK35" s="768"/>
      <c r="DL35" s="768"/>
      <c r="DM35" s="768"/>
      <c r="DN35" s="782"/>
      <c r="DO35" s="782"/>
      <c r="DP35" s="782"/>
      <c r="DQ35" s="782"/>
      <c r="DU35" s="840"/>
      <c r="EB35" s="10"/>
    </row>
    <row r="36" spans="1:132">
      <c r="A36" s="25" t="s">
        <v>18</v>
      </c>
      <c r="B36" s="655">
        <f>'Teamprofile (8)'!B35</f>
        <v>0.1206896551724138</v>
      </c>
      <c r="C36" s="509"/>
      <c r="D36" s="893">
        <v>1.4705882352941176E-2</v>
      </c>
      <c r="E36" s="915">
        <f>'Teamprofile (8)'!C35</f>
        <v>1.8867924528301886E-2</v>
      </c>
      <c r="F36" s="509"/>
      <c r="G36" s="894">
        <v>3.3333333333333333E-2</v>
      </c>
      <c r="H36" s="915">
        <f>'Teamprofile (8)'!D35</f>
        <v>5.0847457627118647E-2</v>
      </c>
      <c r="I36" s="509"/>
      <c r="J36" s="894">
        <v>6.8965517241379309E-2</v>
      </c>
      <c r="K36" s="655">
        <f>'Teamprofile (8)'!E35</f>
        <v>1.9230769230769232E-2</v>
      </c>
      <c r="L36" s="509"/>
      <c r="M36" s="893">
        <v>0</v>
      </c>
      <c r="N36" s="198">
        <f>N35/N38</f>
        <v>4.1666666666666664E-2</v>
      </c>
      <c r="O36" s="198">
        <f>O35/O38</f>
        <v>0.14583333333333334</v>
      </c>
      <c r="P36" s="197">
        <f>P35/P38</f>
        <v>0.1702127659574468</v>
      </c>
      <c r="Q36" s="196">
        <f>Q35/Q38</f>
        <v>0.1276595744680851</v>
      </c>
      <c r="R36" s="160">
        <f t="shared" ref="R36:AA36" si="118">R35/R38</f>
        <v>8.3333333333333329E-2</v>
      </c>
      <c r="S36" s="160">
        <f t="shared" si="118"/>
        <v>0</v>
      </c>
      <c r="T36" s="159">
        <f t="shared" ref="T36:U36" si="119">T35/T38</f>
        <v>8.5714285714285715E-2</v>
      </c>
      <c r="U36" s="158">
        <f t="shared" si="119"/>
        <v>6.0606060606060608E-2</v>
      </c>
      <c r="V36" s="159">
        <f t="shared" si="118"/>
        <v>3.8461538461538464E-2</v>
      </c>
      <c r="W36" s="158">
        <f t="shared" si="118"/>
        <v>0.16666666666666666</v>
      </c>
      <c r="X36" s="178">
        <f t="shared" si="118"/>
        <v>3.3333333333333333E-2</v>
      </c>
      <c r="Y36" s="178">
        <f t="shared" si="118"/>
        <v>0.10526315789473684</v>
      </c>
      <c r="Z36" s="177">
        <f t="shared" si="118"/>
        <v>0.1</v>
      </c>
      <c r="AA36" s="176">
        <f t="shared" si="118"/>
        <v>4.7619047619047616E-2</v>
      </c>
      <c r="AB36" s="287">
        <f t="shared" ref="AB36:AF36" si="120">AB35/AB38</f>
        <v>0.17777777777777778</v>
      </c>
      <c r="AC36" s="287">
        <f t="shared" si="120"/>
        <v>0</v>
      </c>
      <c r="AD36" s="287">
        <f t="shared" si="120"/>
        <v>0</v>
      </c>
      <c r="AE36" s="287">
        <f t="shared" si="120"/>
        <v>0</v>
      </c>
      <c r="AF36" s="287">
        <f t="shared" si="120"/>
        <v>0.10714285714285714</v>
      </c>
      <c r="AG36" s="276">
        <f t="shared" ref="AG36:AO36" si="121">AG35/AG38</f>
        <v>2.4390243902439025E-2</v>
      </c>
      <c r="AH36" s="276">
        <f t="shared" si="121"/>
        <v>3.4482758620689655E-2</v>
      </c>
      <c r="AI36" s="276">
        <f t="shared" ref="AI36" si="122">AI35/AI38</f>
        <v>0</v>
      </c>
      <c r="AJ36" s="276">
        <f t="shared" si="121"/>
        <v>7.3170731707317069E-2</v>
      </c>
      <c r="AK36" s="276">
        <f t="shared" si="121"/>
        <v>3.7037037037037035E-2</v>
      </c>
      <c r="AL36" s="302">
        <f t="shared" si="121"/>
        <v>2.1276595744680851E-2</v>
      </c>
      <c r="AM36" s="302">
        <f t="shared" si="121"/>
        <v>2.1276595744680851E-2</v>
      </c>
      <c r="AN36" s="302">
        <f t="shared" si="121"/>
        <v>4.4444444444444446E-2</v>
      </c>
      <c r="AO36" s="302">
        <f t="shared" si="121"/>
        <v>0.10869565217391304</v>
      </c>
      <c r="AP36" s="312">
        <f t="shared" ref="AP36:AS36" si="123">AP35/AP38</f>
        <v>6.6666666666666666E-2</v>
      </c>
      <c r="AQ36" s="312">
        <f t="shared" si="123"/>
        <v>2.4390243902439025E-2</v>
      </c>
      <c r="AR36" s="312">
        <f t="shared" si="123"/>
        <v>0</v>
      </c>
      <c r="AS36" s="312">
        <f t="shared" si="123"/>
        <v>3.0303030303030304E-2</v>
      </c>
      <c r="AT36" s="322">
        <f t="shared" ref="AT36:BF36" si="124">AT35/AT38</f>
        <v>0</v>
      </c>
      <c r="AU36" s="322">
        <f t="shared" si="124"/>
        <v>0</v>
      </c>
      <c r="AV36" s="322">
        <f t="shared" si="124"/>
        <v>0</v>
      </c>
      <c r="AW36" s="322">
        <f t="shared" si="124"/>
        <v>7.1428571428571425E-2</v>
      </c>
      <c r="AX36" s="322">
        <f t="shared" si="124"/>
        <v>0</v>
      </c>
      <c r="AY36" s="775">
        <f t="shared" si="124"/>
        <v>0</v>
      </c>
      <c r="AZ36" s="775">
        <f t="shared" si="124"/>
        <v>2.9411764705882353E-2</v>
      </c>
      <c r="BA36" s="775">
        <f t="shared" si="124"/>
        <v>0</v>
      </c>
      <c r="BB36" s="775">
        <f t="shared" si="124"/>
        <v>5.4054054054054057E-2</v>
      </c>
      <c r="BC36" s="789">
        <f t="shared" si="124"/>
        <v>0.15</v>
      </c>
      <c r="BD36" s="789">
        <f t="shared" si="124"/>
        <v>5.2631578947368418E-2</v>
      </c>
      <c r="BE36" s="789">
        <f t="shared" si="124"/>
        <v>6.25E-2</v>
      </c>
      <c r="BF36" s="789">
        <f t="shared" si="124"/>
        <v>0</v>
      </c>
      <c r="BG36" s="11">
        <f>BG35/BG38</f>
        <v>9.7560975609756101E-2</v>
      </c>
      <c r="BH36" s="11">
        <f>BH35/BH38</f>
        <v>2.8571428571428571E-2</v>
      </c>
      <c r="BI36" s="509">
        <f>BI35/BI38</f>
        <v>6.25E-2</v>
      </c>
      <c r="BJ36" s="832">
        <f>BJ35/BJ38</f>
        <v>0</v>
      </c>
      <c r="BK36" s="11">
        <f t="shared" ref="BK36:BP36" si="125">BK35/BK38</f>
        <v>0</v>
      </c>
      <c r="BL36" s="11">
        <f t="shared" si="125"/>
        <v>7.6923076923076927E-2</v>
      </c>
      <c r="BM36" s="509">
        <f t="shared" si="125"/>
        <v>0.04</v>
      </c>
      <c r="BN36" s="507">
        <f t="shared" si="125"/>
        <v>0</v>
      </c>
      <c r="BO36" s="509">
        <f t="shared" si="125"/>
        <v>0.17647058823529413</v>
      </c>
      <c r="BP36" s="507">
        <f t="shared" si="125"/>
        <v>0.3</v>
      </c>
      <c r="BQ36" s="1"/>
      <c r="BT36" s="1"/>
      <c r="BY36" s="194"/>
      <c r="BZ36" s="194"/>
      <c r="CA36" s="194"/>
      <c r="CB36" s="194"/>
      <c r="CC36" s="170"/>
      <c r="CD36" s="170"/>
      <c r="CE36" s="170"/>
      <c r="CF36" s="170"/>
      <c r="CG36" s="170"/>
      <c r="CH36" s="170"/>
      <c r="CI36" s="174"/>
      <c r="CJ36" s="174"/>
      <c r="CK36" s="174"/>
      <c r="CL36" s="174"/>
      <c r="CM36" s="287"/>
      <c r="CN36" s="287"/>
      <c r="CO36" s="287"/>
      <c r="CP36" s="287"/>
      <c r="CQ36" s="287"/>
      <c r="CR36" s="276"/>
      <c r="CS36" s="276"/>
      <c r="CT36" s="276"/>
      <c r="CU36" s="276"/>
      <c r="CV36" s="276"/>
      <c r="CW36" s="302"/>
      <c r="CX36" s="302"/>
      <c r="CY36" s="302"/>
      <c r="CZ36" s="302"/>
      <c r="DA36" s="312"/>
      <c r="DB36" s="312"/>
      <c r="DC36" s="312"/>
      <c r="DD36" s="312"/>
      <c r="DE36" s="322"/>
      <c r="DF36" s="322"/>
      <c r="DG36" s="322"/>
      <c r="DH36" s="322"/>
      <c r="DI36" s="322"/>
      <c r="DJ36" s="775"/>
      <c r="DK36" s="775"/>
      <c r="DL36" s="775"/>
      <c r="DM36" s="775"/>
      <c r="DN36" s="789"/>
      <c r="DO36" s="789"/>
      <c r="DP36" s="789"/>
      <c r="DQ36" s="789"/>
      <c r="DU36" s="840"/>
      <c r="EB36" s="10"/>
    </row>
    <row r="37" spans="1:132" s="6" customFormat="1" ht="15.75">
      <c r="A37" s="24" t="s">
        <v>17</v>
      </c>
      <c r="B37" s="226">
        <f>'Teamprofile (8)'!B36</f>
        <v>0.25862068965517243</v>
      </c>
      <c r="C37" s="14">
        <f>(B37/D37)-1</f>
        <v>0.46551724137931028</v>
      </c>
      <c r="D37" s="885">
        <v>0.17647058823529413</v>
      </c>
      <c r="E37" s="226">
        <f>'Teamprofile (8)'!C36</f>
        <v>0.18867924528301888</v>
      </c>
      <c r="F37" s="509">
        <f>(E37/G37)-1</f>
        <v>0.8867924528301887</v>
      </c>
      <c r="G37" s="885">
        <v>0.1</v>
      </c>
      <c r="H37" s="882">
        <f>'Teamprofile (8)'!D36</f>
        <v>6.7796610169491525E-2</v>
      </c>
      <c r="I37" s="509">
        <f>(H37/J37)-1</f>
        <v>-0.64252696456086289</v>
      </c>
      <c r="J37" s="890">
        <v>0.18965517241379309</v>
      </c>
      <c r="K37" s="226">
        <f>'Teamprofile (8)'!E36</f>
        <v>0.11538461538461539</v>
      </c>
      <c r="L37" s="509">
        <f>(K37/M37)-1</f>
        <v>0.5</v>
      </c>
      <c r="M37" s="885">
        <v>7.6923076923076927E-2</v>
      </c>
      <c r="N37" s="200">
        <f>N32+N34+N36</f>
        <v>0.27083333333333337</v>
      </c>
      <c r="O37" s="398">
        <f>O32+O34+O36</f>
        <v>0.29166666666666663</v>
      </c>
      <c r="P37" s="200">
        <f>P32+P34+P36</f>
        <v>0.23404255319148937</v>
      </c>
      <c r="Q37" s="348">
        <f>Q32+Q34+Q36</f>
        <v>0.21276595744680848</v>
      </c>
      <c r="R37" s="388">
        <f t="shared" ref="R37:AA37" si="126">R32+R34+R36</f>
        <v>0.28333333333333333</v>
      </c>
      <c r="S37" s="172">
        <f t="shared" si="126"/>
        <v>9.7560975609756101E-2</v>
      </c>
      <c r="T37" s="172">
        <f t="shared" ref="T37:U37" si="127">T32+T34+T36</f>
        <v>0.11428571428571428</v>
      </c>
      <c r="U37" s="599">
        <f t="shared" si="127"/>
        <v>0.18181818181818182</v>
      </c>
      <c r="V37" s="172">
        <f t="shared" si="126"/>
        <v>0.11538461538461539</v>
      </c>
      <c r="W37" s="171">
        <f t="shared" si="126"/>
        <v>0.16666666666666666</v>
      </c>
      <c r="X37" s="394">
        <f t="shared" si="126"/>
        <v>0.35</v>
      </c>
      <c r="Y37" s="181">
        <f t="shared" si="126"/>
        <v>0.24561403508771928</v>
      </c>
      <c r="Z37" s="181">
        <f t="shared" si="126"/>
        <v>0.32000000000000006</v>
      </c>
      <c r="AA37" s="179">
        <f t="shared" si="126"/>
        <v>0.11904761904761904</v>
      </c>
      <c r="AB37" s="404">
        <f t="shared" ref="AB37:AF37" si="128">AB32+AB34+AB36</f>
        <v>0.37777777777777777</v>
      </c>
      <c r="AC37" s="404">
        <f t="shared" si="128"/>
        <v>0.16666666666666666</v>
      </c>
      <c r="AD37" s="681">
        <f t="shared" si="128"/>
        <v>0.43478260869565222</v>
      </c>
      <c r="AE37" s="404">
        <f t="shared" si="128"/>
        <v>3.3333333333333333E-2</v>
      </c>
      <c r="AF37" s="404">
        <f t="shared" si="128"/>
        <v>0.21428571428571427</v>
      </c>
      <c r="AG37" s="399">
        <f t="shared" ref="AG37:AO37" si="129">AG32+AG34+AG36</f>
        <v>0.12195121951219512</v>
      </c>
      <c r="AH37" s="399">
        <f t="shared" si="129"/>
        <v>0.10344827586206896</v>
      </c>
      <c r="AI37" s="334">
        <f t="shared" ref="AI37" si="130">AI32+AI34+AI36</f>
        <v>0.17499999999999999</v>
      </c>
      <c r="AJ37" s="399">
        <f t="shared" si="129"/>
        <v>0.14634146341463417</v>
      </c>
      <c r="AK37" s="399">
        <f t="shared" si="129"/>
        <v>0.1111111111111111</v>
      </c>
      <c r="AL37" s="401">
        <f t="shared" si="129"/>
        <v>0.14893617021276595</v>
      </c>
      <c r="AM37" s="401">
        <f t="shared" si="129"/>
        <v>0.1702127659574468</v>
      </c>
      <c r="AN37" s="401">
        <f t="shared" si="129"/>
        <v>0.15555555555555556</v>
      </c>
      <c r="AO37" s="400">
        <f t="shared" si="129"/>
        <v>0.2391304347826087</v>
      </c>
      <c r="AP37" s="750">
        <f t="shared" ref="AP37:AS37" si="131">AP32+AP34+AP36</f>
        <v>0.26666666666666666</v>
      </c>
      <c r="AQ37" s="403">
        <f t="shared" si="131"/>
        <v>4.878048780487805E-2</v>
      </c>
      <c r="AR37" s="403">
        <f t="shared" si="131"/>
        <v>0</v>
      </c>
      <c r="AS37" s="403">
        <f t="shared" si="131"/>
        <v>0.15151515151515152</v>
      </c>
      <c r="AT37" s="405">
        <f t="shared" ref="AT37:BF37" si="132">AT32+AT34+AT36</f>
        <v>0.12</v>
      </c>
      <c r="AU37" s="402">
        <f t="shared" si="132"/>
        <v>7.1428571428571425E-2</v>
      </c>
      <c r="AV37" s="402">
        <f t="shared" si="132"/>
        <v>0</v>
      </c>
      <c r="AW37" s="402">
        <f t="shared" si="132"/>
        <v>0.10714285714285714</v>
      </c>
      <c r="AX37" s="402">
        <f t="shared" si="132"/>
        <v>0.1</v>
      </c>
      <c r="AY37" s="769">
        <f t="shared" si="132"/>
        <v>7.8947368421052627E-2</v>
      </c>
      <c r="AZ37" s="769">
        <f t="shared" si="132"/>
        <v>2.9411764705882353E-2</v>
      </c>
      <c r="BA37" s="769">
        <f t="shared" si="132"/>
        <v>5.5555555555555552E-2</v>
      </c>
      <c r="BB37" s="741">
        <f t="shared" si="132"/>
        <v>0.27027027027027029</v>
      </c>
      <c r="BC37" s="783">
        <f t="shared" si="132"/>
        <v>0.17499999999999999</v>
      </c>
      <c r="BD37" s="783">
        <f t="shared" si="132"/>
        <v>0.10526315789473684</v>
      </c>
      <c r="BE37" s="744">
        <f t="shared" si="132"/>
        <v>0.1875</v>
      </c>
      <c r="BF37" s="783">
        <f t="shared" si="132"/>
        <v>3.5714285714285712E-2</v>
      </c>
      <c r="BG37" s="579">
        <f>BG32+BG34+BG36</f>
        <v>0.12195121951219512</v>
      </c>
      <c r="BH37" s="579">
        <f>BH32+BH34+BH36</f>
        <v>8.5714285714285715E-2</v>
      </c>
      <c r="BI37" s="806">
        <f>BI32+BI34+BI36</f>
        <v>0.125</v>
      </c>
      <c r="BJ37" s="834">
        <f>BJ32+BJ34+BJ36</f>
        <v>7.407407407407407E-2</v>
      </c>
      <c r="BK37" s="505">
        <f t="shared" ref="BK37:BP37" si="133">BK32+BK34+BK36</f>
        <v>0.14814814814814814</v>
      </c>
      <c r="BL37" s="579">
        <f t="shared" si="133"/>
        <v>7.6923076923076927E-2</v>
      </c>
      <c r="BM37" s="579">
        <f t="shared" si="133"/>
        <v>0.08</v>
      </c>
      <c r="BN37" s="578">
        <f t="shared" si="133"/>
        <v>0.2857142857142857</v>
      </c>
      <c r="BO37" s="806">
        <f t="shared" si="133"/>
        <v>0.41176470588235292</v>
      </c>
      <c r="BP37" s="578">
        <f t="shared" si="133"/>
        <v>0.4</v>
      </c>
      <c r="BQ37" s="31"/>
      <c r="BR37" s="361">
        <f>MAX(N37:BP37,K37,H37,E37,B37)</f>
        <v>0.43478260869565222</v>
      </c>
      <c r="BS37" s="361">
        <f>MIN(N37:BP37,K37,H37,E37,B37)</f>
        <v>0</v>
      </c>
      <c r="BT37" s="31"/>
      <c r="BU37" s="387">
        <f>B37/$BR37</f>
        <v>0.59482758620689657</v>
      </c>
      <c r="BV37" s="332">
        <f>E37/$BR37</f>
        <v>0.43396226415094341</v>
      </c>
      <c r="BW37" s="9">
        <f>H37/$BR37</f>
        <v>0.15593220338983049</v>
      </c>
      <c r="BX37" s="505">
        <f>K37/$BR37</f>
        <v>0.26538461538461539</v>
      </c>
      <c r="BY37" s="332">
        <f t="shared" ref="BY37:DD37" si="134">N37/$BR37</f>
        <v>0.62291666666666667</v>
      </c>
      <c r="BZ37" s="355">
        <f t="shared" si="134"/>
        <v>0.67083333333333317</v>
      </c>
      <c r="CA37" s="199">
        <f t="shared" si="134"/>
        <v>0.53829787234042548</v>
      </c>
      <c r="CB37" s="199">
        <f t="shared" si="134"/>
        <v>0.48936170212765945</v>
      </c>
      <c r="CC37" s="355">
        <f t="shared" si="134"/>
        <v>0.65166666666666662</v>
      </c>
      <c r="CD37" s="168">
        <f t="shared" si="134"/>
        <v>0.224390243902439</v>
      </c>
      <c r="CE37" s="168">
        <f t="shared" si="134"/>
        <v>0.26285714285714284</v>
      </c>
      <c r="CF37" s="227">
        <f t="shared" si="134"/>
        <v>0.41818181818181815</v>
      </c>
      <c r="CG37" s="168">
        <f t="shared" si="134"/>
        <v>0.26538461538461539</v>
      </c>
      <c r="CH37" s="168">
        <f t="shared" si="134"/>
        <v>0.38333333333333325</v>
      </c>
      <c r="CI37" s="355">
        <f t="shared" si="134"/>
        <v>0.80499999999999983</v>
      </c>
      <c r="CJ37" s="180">
        <f t="shared" si="134"/>
        <v>0.56491228070175425</v>
      </c>
      <c r="CK37" s="227">
        <f t="shared" si="134"/>
        <v>0.7360000000000001</v>
      </c>
      <c r="CL37" s="180">
        <f t="shared" si="134"/>
        <v>0.27380952380952378</v>
      </c>
      <c r="CM37" s="227">
        <f t="shared" si="134"/>
        <v>0.86888888888888882</v>
      </c>
      <c r="CN37" s="404">
        <f t="shared" si="134"/>
        <v>0.38333333333333325</v>
      </c>
      <c r="CO37" s="759">
        <f t="shared" si="134"/>
        <v>1</v>
      </c>
      <c r="CP37" s="404">
        <f t="shared" si="134"/>
        <v>7.6666666666666661E-2</v>
      </c>
      <c r="CQ37" s="404">
        <f t="shared" si="134"/>
        <v>0.49285714285714277</v>
      </c>
      <c r="CR37" s="399">
        <f t="shared" si="134"/>
        <v>0.28048780487804875</v>
      </c>
      <c r="CS37" s="399">
        <f t="shared" si="134"/>
        <v>0.2379310344827586</v>
      </c>
      <c r="CT37" s="355">
        <f t="shared" si="134"/>
        <v>0.40249999999999991</v>
      </c>
      <c r="CU37" s="227">
        <f t="shared" si="134"/>
        <v>0.33658536585365856</v>
      </c>
      <c r="CV37" s="399">
        <f t="shared" si="134"/>
        <v>0.25555555555555554</v>
      </c>
      <c r="CW37" s="401">
        <f t="shared" si="134"/>
        <v>0.34255319148936164</v>
      </c>
      <c r="CX37" s="227">
        <f t="shared" si="134"/>
        <v>0.39148936170212761</v>
      </c>
      <c r="CY37" s="401">
        <f t="shared" si="134"/>
        <v>0.35777777777777775</v>
      </c>
      <c r="CZ37" s="355">
        <f t="shared" si="134"/>
        <v>0.54999999999999993</v>
      </c>
      <c r="DA37" s="355">
        <f t="shared" si="134"/>
        <v>0.61333333333333329</v>
      </c>
      <c r="DB37" s="403">
        <f t="shared" si="134"/>
        <v>0.1121951219512195</v>
      </c>
      <c r="DC37" s="403">
        <f t="shared" si="134"/>
        <v>0</v>
      </c>
      <c r="DD37" s="227">
        <f t="shared" si="134"/>
        <v>0.34848484848484845</v>
      </c>
      <c r="DE37" s="355">
        <f t="shared" ref="DE37:EA37" si="135">AT37/$BR37</f>
        <v>0.27599999999999997</v>
      </c>
      <c r="DF37" s="402">
        <f t="shared" si="135"/>
        <v>0.16428571428571426</v>
      </c>
      <c r="DG37" s="402">
        <f t="shared" si="135"/>
        <v>0</v>
      </c>
      <c r="DH37" s="227">
        <f t="shared" si="135"/>
        <v>0.24642857142857139</v>
      </c>
      <c r="DI37" s="402">
        <f t="shared" si="135"/>
        <v>0.22999999999999998</v>
      </c>
      <c r="DJ37" s="227">
        <f t="shared" si="135"/>
        <v>0.18157894736842103</v>
      </c>
      <c r="DK37" s="769">
        <f t="shared" si="135"/>
        <v>6.7647058823529407E-2</v>
      </c>
      <c r="DL37" s="769">
        <f t="shared" si="135"/>
        <v>0.12777777777777777</v>
      </c>
      <c r="DM37" s="226">
        <f t="shared" si="135"/>
        <v>0.6216216216216216</v>
      </c>
      <c r="DN37" s="227">
        <f t="shared" si="135"/>
        <v>0.40249999999999991</v>
      </c>
      <c r="DO37" s="783">
        <f t="shared" si="135"/>
        <v>0.24210526315789471</v>
      </c>
      <c r="DP37" s="226">
        <f t="shared" si="135"/>
        <v>0.43124999999999997</v>
      </c>
      <c r="DQ37" s="783">
        <f t="shared" si="135"/>
        <v>8.2142857142857129E-2</v>
      </c>
      <c r="DR37" s="227">
        <f t="shared" si="135"/>
        <v>0.28048780487804875</v>
      </c>
      <c r="DS37" s="843">
        <f t="shared" si="135"/>
        <v>0.19714285714285712</v>
      </c>
      <c r="DT37" s="226">
        <f t="shared" si="135"/>
        <v>0.28749999999999998</v>
      </c>
      <c r="DU37" s="837">
        <f t="shared" si="135"/>
        <v>0.17037037037037034</v>
      </c>
      <c r="DV37" s="843">
        <f t="shared" si="135"/>
        <v>0.34074074074074068</v>
      </c>
      <c r="DW37" s="505">
        <f t="shared" si="135"/>
        <v>0.17692307692307691</v>
      </c>
      <c r="DX37" s="505">
        <f t="shared" si="135"/>
        <v>0.184</v>
      </c>
      <c r="DY37" s="844">
        <f t="shared" si="135"/>
        <v>0.65714285714285703</v>
      </c>
      <c r="DZ37" s="226">
        <f t="shared" si="135"/>
        <v>0.94705882352941162</v>
      </c>
      <c r="EA37" s="227">
        <f t="shared" si="135"/>
        <v>0.91999999999999993</v>
      </c>
      <c r="EB37" s="8"/>
    </row>
    <row r="38" spans="1:132">
      <c r="A38" s="1" t="s">
        <v>4</v>
      </c>
      <c r="B38" s="22">
        <f>'Teamprofile (8)'!B37</f>
        <v>58</v>
      </c>
      <c r="C38" s="22"/>
      <c r="D38" s="905">
        <v>68</v>
      </c>
      <c r="E38" s="22">
        <f>'Teamprofile (8)'!C37</f>
        <v>53</v>
      </c>
      <c r="F38" s="22"/>
      <c r="G38" s="902">
        <v>30</v>
      </c>
      <c r="H38" s="21">
        <f>'Teamprofile (8)'!D37</f>
        <v>59</v>
      </c>
      <c r="I38" s="21"/>
      <c r="J38" s="892">
        <v>58</v>
      </c>
      <c r="K38" s="23">
        <f>'Teamprofile (8)'!E37</f>
        <v>52</v>
      </c>
      <c r="L38" s="23"/>
      <c r="M38" s="892">
        <v>26</v>
      </c>
      <c r="N38" s="208">
        <f>Auswertung!AC61</f>
        <v>48</v>
      </c>
      <c r="O38" s="208">
        <f>Auswertung!AC69</f>
        <v>48</v>
      </c>
      <c r="P38" s="209">
        <f>Auswertung!AC77</f>
        <v>47</v>
      </c>
      <c r="Q38" s="210">
        <f>Auswertung!AC85</f>
        <v>47</v>
      </c>
      <c r="R38" s="164">
        <f>Auswertung!AC101</f>
        <v>60</v>
      </c>
      <c r="S38" s="164">
        <f>Auswertung!AC109</f>
        <v>41</v>
      </c>
      <c r="T38" s="165">
        <f>Auswertung!AC117</f>
        <v>35</v>
      </c>
      <c r="U38" s="166">
        <f>Auswertung!AC125</f>
        <v>33</v>
      </c>
      <c r="V38" s="165">
        <f>Auswertung!AC133</f>
        <v>26</v>
      </c>
      <c r="W38" s="166">
        <f>Auswertung!AC141</f>
        <v>12</v>
      </c>
      <c r="X38" s="188">
        <f>Auswertung!AC157</f>
        <v>60</v>
      </c>
      <c r="Y38" s="188">
        <f>Auswertung!AC165</f>
        <v>57</v>
      </c>
      <c r="Z38" s="189">
        <f>Auswertung!AC173</f>
        <v>50</v>
      </c>
      <c r="AA38" s="190">
        <f>Auswertung!AC181</f>
        <v>42</v>
      </c>
      <c r="AB38" s="285">
        <f>Auswertung!AC197</f>
        <v>45</v>
      </c>
      <c r="AC38" s="285">
        <f>Auswertung!AC205</f>
        <v>12</v>
      </c>
      <c r="AD38" s="285">
        <f>Auswertung!AC213</f>
        <v>23</v>
      </c>
      <c r="AE38" s="285">
        <f>Auswertung!AC221</f>
        <v>30</v>
      </c>
      <c r="AF38" s="285">
        <f>Auswertung!AC229</f>
        <v>28</v>
      </c>
      <c r="AG38" s="274">
        <f>Auswertung!AC245</f>
        <v>41</v>
      </c>
      <c r="AH38" s="274">
        <f>Auswertung!AC253</f>
        <v>29</v>
      </c>
      <c r="AI38" s="274">
        <f>Auswertung!AC261</f>
        <v>40</v>
      </c>
      <c r="AJ38" s="274">
        <f>Auswertung!AC269</f>
        <v>41</v>
      </c>
      <c r="AK38" s="274">
        <f>Auswertung!AC277</f>
        <v>27</v>
      </c>
      <c r="AL38" s="300">
        <f>Auswertung!AC293</f>
        <v>47</v>
      </c>
      <c r="AM38" s="300">
        <f>Auswertung!AC301</f>
        <v>47</v>
      </c>
      <c r="AN38" s="300">
        <f>Auswertung!AC309</f>
        <v>45</v>
      </c>
      <c r="AO38" s="300">
        <f>Auswertung!AC317</f>
        <v>46</v>
      </c>
      <c r="AP38" s="310">
        <f>Auswertung!AC333</f>
        <v>45</v>
      </c>
      <c r="AQ38" s="310">
        <f>Auswertung!AC341</f>
        <v>41</v>
      </c>
      <c r="AR38" s="310">
        <f>Auswertung!AC349</f>
        <v>35</v>
      </c>
      <c r="AS38" s="310">
        <f>Auswertung!AC357</f>
        <v>33</v>
      </c>
      <c r="AT38" s="320">
        <f>Auswertung!AC373</f>
        <v>25</v>
      </c>
      <c r="AU38" s="320">
        <f>Auswertung!AC381</f>
        <v>28</v>
      </c>
      <c r="AV38" s="320">
        <f>Auswertung!AC389</f>
        <v>16</v>
      </c>
      <c r="AW38" s="320">
        <f>Auswertung!AC397</f>
        <v>28</v>
      </c>
      <c r="AX38" s="320">
        <f>Auswertung!AC405</f>
        <v>30</v>
      </c>
      <c r="AY38" s="773">
        <f>Auswertung!AC421</f>
        <v>38</v>
      </c>
      <c r="AZ38" s="773">
        <f>Auswertung!AC429</f>
        <v>34</v>
      </c>
      <c r="BA38" s="773">
        <f>Auswertung!AC437</f>
        <v>36</v>
      </c>
      <c r="BB38" s="773">
        <f>Auswertung!AC445</f>
        <v>37</v>
      </c>
      <c r="BC38" s="787">
        <f>Auswertung!AC461</f>
        <v>40</v>
      </c>
      <c r="BD38" s="787">
        <f>Auswertung!AC469</f>
        <v>38</v>
      </c>
      <c r="BE38" s="787">
        <f>Auswertung!AC477</f>
        <v>32</v>
      </c>
      <c r="BF38" s="787">
        <f>Auswertung!AC485</f>
        <v>28</v>
      </c>
      <c r="BG38" s="22">
        <f>Auswertung!AC501</f>
        <v>41</v>
      </c>
      <c r="BH38" s="22">
        <f>Auswertung!AC509</f>
        <v>35</v>
      </c>
      <c r="BI38" s="21">
        <f>Auswertung!AC517</f>
        <v>32</v>
      </c>
      <c r="BJ38" s="828">
        <f>Auswertung!AC525</f>
        <v>27</v>
      </c>
      <c r="BK38" s="22">
        <f>Auswertung!AC541</f>
        <v>27</v>
      </c>
      <c r="BL38" s="22">
        <f>Auswertung!AC549</f>
        <v>13</v>
      </c>
      <c r="BM38" s="21">
        <f>Auswertung!AC557</f>
        <v>25</v>
      </c>
      <c r="BN38" s="511">
        <f>Auswertung!AC565</f>
        <v>14</v>
      </c>
      <c r="BO38" s="21">
        <f>Auswertung!AC573</f>
        <v>17</v>
      </c>
      <c r="BP38" s="511">
        <f>Auswertung!AC581</f>
        <v>10</v>
      </c>
      <c r="BQ38" s="1"/>
      <c r="BT38" s="1"/>
      <c r="BY38" s="194"/>
      <c r="BZ38" s="194"/>
      <c r="CA38" s="194"/>
      <c r="CB38" s="194"/>
      <c r="CC38" s="170"/>
      <c r="CD38" s="170"/>
      <c r="CE38" s="170"/>
      <c r="CF38" s="170"/>
      <c r="CG38" s="170"/>
      <c r="CH38" s="170"/>
      <c r="CI38" s="174"/>
      <c r="CJ38" s="174"/>
      <c r="CK38" s="174"/>
      <c r="CL38" s="174"/>
      <c r="CM38" s="285"/>
      <c r="CN38" s="285"/>
      <c r="CO38" s="285"/>
      <c r="CP38" s="285"/>
      <c r="CQ38" s="285"/>
      <c r="CR38" s="274"/>
      <c r="CS38" s="274"/>
      <c r="CT38" s="274"/>
      <c r="CU38" s="274"/>
      <c r="CV38" s="274"/>
      <c r="CW38" s="300"/>
      <c r="CX38" s="300"/>
      <c r="CY38" s="300"/>
      <c r="CZ38" s="300"/>
      <c r="DA38" s="310"/>
      <c r="DB38" s="310"/>
      <c r="DC38" s="310"/>
      <c r="DD38" s="310"/>
      <c r="DE38" s="320"/>
      <c r="DF38" s="320"/>
      <c r="DG38" s="320"/>
      <c r="DH38" s="320"/>
      <c r="DI38" s="320"/>
      <c r="DJ38" s="773"/>
      <c r="DK38" s="773"/>
      <c r="DL38" s="773"/>
      <c r="DM38" s="773"/>
      <c r="DN38" s="787"/>
      <c r="DO38" s="787"/>
      <c r="DP38" s="787"/>
      <c r="DQ38" s="787"/>
      <c r="DU38" s="840"/>
      <c r="EB38" s="10"/>
    </row>
    <row r="39" spans="1:132">
      <c r="A39" s="1" t="s">
        <v>63</v>
      </c>
      <c r="B39" s="22">
        <f>'Teamprofile (8)'!B38</f>
        <v>0</v>
      </c>
      <c r="C39" s="22"/>
      <c r="D39" s="895" t="s">
        <v>13</v>
      </c>
      <c r="E39" s="22">
        <f>'Teamprofile (8)'!C38</f>
        <v>1</v>
      </c>
      <c r="F39" s="22"/>
      <c r="G39" s="892">
        <v>0</v>
      </c>
      <c r="H39" s="21">
        <f>'Teamprofile (8)'!D38</f>
        <v>3</v>
      </c>
      <c r="I39" s="21"/>
      <c r="J39" s="895" t="s">
        <v>13</v>
      </c>
      <c r="K39" s="23">
        <f>'Teamprofile (8)'!E38</f>
        <v>0</v>
      </c>
      <c r="L39" s="23"/>
      <c r="M39" s="892">
        <v>0</v>
      </c>
      <c r="N39" s="208">
        <v>0</v>
      </c>
      <c r="O39" s="208">
        <v>0</v>
      </c>
      <c r="P39" s="209">
        <v>0</v>
      </c>
      <c r="Q39" s="210">
        <v>0</v>
      </c>
      <c r="R39" s="164">
        <v>0</v>
      </c>
      <c r="S39" s="164">
        <v>1</v>
      </c>
      <c r="T39" s="165">
        <v>0</v>
      </c>
      <c r="U39" s="166">
        <v>0</v>
      </c>
      <c r="V39" s="165">
        <v>0</v>
      </c>
      <c r="W39" s="166">
        <v>1</v>
      </c>
      <c r="X39" s="188">
        <v>1</v>
      </c>
      <c r="Y39" s="188">
        <v>4</v>
      </c>
      <c r="Z39" s="189">
        <v>0</v>
      </c>
      <c r="AA39" s="190">
        <v>1</v>
      </c>
      <c r="AB39" s="285">
        <v>1</v>
      </c>
      <c r="AC39" s="285">
        <v>0</v>
      </c>
      <c r="AD39" s="285">
        <v>0</v>
      </c>
      <c r="AE39" s="285">
        <v>0</v>
      </c>
      <c r="AF39" s="285">
        <v>3</v>
      </c>
      <c r="AG39" s="274">
        <v>1</v>
      </c>
      <c r="AH39" s="274">
        <v>3</v>
      </c>
      <c r="AI39" s="274">
        <v>1</v>
      </c>
      <c r="AJ39" s="274">
        <v>1</v>
      </c>
      <c r="AK39" s="274">
        <v>1</v>
      </c>
      <c r="AL39" s="300">
        <v>0</v>
      </c>
      <c r="AM39" s="300">
        <v>1</v>
      </c>
      <c r="AN39" s="300">
        <v>1</v>
      </c>
      <c r="AO39" s="300">
        <v>4</v>
      </c>
      <c r="AP39" s="310">
        <v>2</v>
      </c>
      <c r="AQ39" s="310">
        <v>0</v>
      </c>
      <c r="AR39" s="310">
        <v>0</v>
      </c>
      <c r="AS39" s="310">
        <v>1</v>
      </c>
      <c r="AT39" s="320">
        <v>1</v>
      </c>
      <c r="AU39" s="320">
        <v>2</v>
      </c>
      <c r="AV39" s="320">
        <v>0</v>
      </c>
      <c r="AW39" s="320">
        <v>0</v>
      </c>
      <c r="AX39" s="320">
        <v>0</v>
      </c>
      <c r="AY39" s="773">
        <v>1</v>
      </c>
      <c r="AZ39" s="773">
        <v>0</v>
      </c>
      <c r="BA39" s="773">
        <v>4</v>
      </c>
      <c r="BB39" s="773">
        <v>2</v>
      </c>
      <c r="BC39" s="787">
        <v>0</v>
      </c>
      <c r="BD39" s="787">
        <v>2</v>
      </c>
      <c r="BE39" s="787">
        <v>1</v>
      </c>
      <c r="BF39" s="787">
        <v>0</v>
      </c>
      <c r="BG39" s="22">
        <v>0</v>
      </c>
      <c r="BH39" s="22">
        <v>0</v>
      </c>
      <c r="BI39" s="21">
        <v>1</v>
      </c>
      <c r="BJ39" s="828">
        <v>0</v>
      </c>
      <c r="BK39" s="22">
        <v>1</v>
      </c>
      <c r="BL39" s="22">
        <v>1</v>
      </c>
      <c r="BM39" s="21">
        <v>2</v>
      </c>
      <c r="BN39" s="511">
        <v>1</v>
      </c>
      <c r="BO39" s="21">
        <v>0</v>
      </c>
      <c r="BP39" s="511">
        <v>0</v>
      </c>
      <c r="BQ39" s="1"/>
      <c r="BT39" s="1"/>
      <c r="BY39" s="194"/>
      <c r="BZ39" s="194"/>
      <c r="CA39" s="194"/>
      <c r="CB39" s="194"/>
      <c r="CC39" s="170"/>
      <c r="CD39" s="170"/>
      <c r="CE39" s="170"/>
      <c r="CF39" s="170"/>
      <c r="CG39" s="170"/>
      <c r="CH39" s="170"/>
      <c r="CI39" s="174"/>
      <c r="CJ39" s="174"/>
      <c r="CK39" s="174"/>
      <c r="CL39" s="174"/>
      <c r="CM39" s="285"/>
      <c r="CN39" s="285"/>
      <c r="CO39" s="285"/>
      <c r="CP39" s="285"/>
      <c r="CQ39" s="285"/>
      <c r="CR39" s="274"/>
      <c r="CS39" s="274"/>
      <c r="CT39" s="274"/>
      <c r="CU39" s="274"/>
      <c r="CV39" s="274"/>
      <c r="CW39" s="300"/>
      <c r="CX39" s="300"/>
      <c r="CY39" s="300"/>
      <c r="CZ39" s="300"/>
      <c r="DA39" s="310"/>
      <c r="DB39" s="310"/>
      <c r="DC39" s="310"/>
      <c r="DD39" s="310"/>
      <c r="DE39" s="320"/>
      <c r="DF39" s="320"/>
      <c r="DG39" s="320"/>
      <c r="DH39" s="320"/>
      <c r="DI39" s="320"/>
      <c r="DJ39" s="773"/>
      <c r="DK39" s="773"/>
      <c r="DL39" s="773"/>
      <c r="DM39" s="773"/>
      <c r="DN39" s="787"/>
      <c r="DO39" s="787"/>
      <c r="DP39" s="787"/>
      <c r="DQ39" s="787"/>
      <c r="DU39" s="840"/>
      <c r="EB39" s="10"/>
    </row>
    <row r="40" spans="1:132">
      <c r="A40" s="1" t="s">
        <v>62</v>
      </c>
      <c r="B40" s="22">
        <f>'Teamprofile (8)'!B39</f>
        <v>15</v>
      </c>
      <c r="C40" s="22"/>
      <c r="D40" s="895" t="s">
        <v>13</v>
      </c>
      <c r="E40" s="22">
        <f>'Teamprofile (8)'!C39</f>
        <v>11</v>
      </c>
      <c r="F40" s="22"/>
      <c r="G40" s="892">
        <v>4</v>
      </c>
      <c r="H40" s="21">
        <f>'Teamprofile (8)'!D39</f>
        <v>10</v>
      </c>
      <c r="I40" s="21"/>
      <c r="J40" s="895" t="s">
        <v>13</v>
      </c>
      <c r="K40" s="23">
        <f>'Teamprofile (8)'!E39</f>
        <v>11</v>
      </c>
      <c r="L40" s="23"/>
      <c r="M40" s="892">
        <v>2</v>
      </c>
      <c r="N40" s="208">
        <v>8</v>
      </c>
      <c r="O40" s="208">
        <v>8</v>
      </c>
      <c r="P40" s="209">
        <v>5</v>
      </c>
      <c r="Q40" s="210">
        <v>8</v>
      </c>
      <c r="R40" s="164">
        <v>5</v>
      </c>
      <c r="S40" s="164">
        <v>5</v>
      </c>
      <c r="T40" s="165">
        <v>10</v>
      </c>
      <c r="U40" s="166">
        <v>9</v>
      </c>
      <c r="V40" s="165">
        <v>6</v>
      </c>
      <c r="W40" s="166">
        <v>2</v>
      </c>
      <c r="X40" s="188">
        <v>7</v>
      </c>
      <c r="Y40" s="188">
        <v>8</v>
      </c>
      <c r="Z40" s="189">
        <v>5</v>
      </c>
      <c r="AA40" s="190">
        <v>6</v>
      </c>
      <c r="AB40" s="285">
        <v>8</v>
      </c>
      <c r="AC40" s="285">
        <v>1</v>
      </c>
      <c r="AD40" s="285">
        <v>4</v>
      </c>
      <c r="AE40" s="285">
        <v>7</v>
      </c>
      <c r="AF40" s="285">
        <v>8</v>
      </c>
      <c r="AG40" s="274">
        <v>8</v>
      </c>
      <c r="AH40" s="274">
        <v>8</v>
      </c>
      <c r="AI40" s="274">
        <v>7</v>
      </c>
      <c r="AJ40" s="274">
        <v>9</v>
      </c>
      <c r="AK40" s="274">
        <v>5</v>
      </c>
      <c r="AL40" s="300">
        <v>5</v>
      </c>
      <c r="AM40" s="300">
        <v>8</v>
      </c>
      <c r="AN40" s="300">
        <v>8</v>
      </c>
      <c r="AO40" s="300">
        <v>9</v>
      </c>
      <c r="AP40" s="310">
        <v>6</v>
      </c>
      <c r="AQ40" s="310">
        <v>8</v>
      </c>
      <c r="AR40" s="310">
        <v>12</v>
      </c>
      <c r="AS40" s="310">
        <v>10</v>
      </c>
      <c r="AT40" s="320">
        <v>3</v>
      </c>
      <c r="AU40" s="320">
        <v>8</v>
      </c>
      <c r="AV40" s="320">
        <v>5</v>
      </c>
      <c r="AW40" s="320">
        <v>3</v>
      </c>
      <c r="AX40" s="320">
        <v>4</v>
      </c>
      <c r="AY40" s="773">
        <v>8</v>
      </c>
      <c r="AZ40" s="773">
        <v>4</v>
      </c>
      <c r="BA40" s="773">
        <v>6</v>
      </c>
      <c r="BB40" s="773">
        <v>4</v>
      </c>
      <c r="BC40" s="787">
        <v>10</v>
      </c>
      <c r="BD40" s="787">
        <v>11</v>
      </c>
      <c r="BE40" s="787">
        <v>9</v>
      </c>
      <c r="BF40" s="787">
        <v>11</v>
      </c>
      <c r="BG40" s="22">
        <v>6</v>
      </c>
      <c r="BH40" s="22">
        <v>10</v>
      </c>
      <c r="BI40" s="21">
        <v>9</v>
      </c>
      <c r="BJ40" s="828">
        <v>9</v>
      </c>
      <c r="BK40" s="22">
        <v>6</v>
      </c>
      <c r="BL40" s="22">
        <v>7</v>
      </c>
      <c r="BM40" s="21">
        <v>8</v>
      </c>
      <c r="BN40" s="511">
        <v>5</v>
      </c>
      <c r="BO40" s="21">
        <v>3</v>
      </c>
      <c r="BP40" s="511">
        <v>1</v>
      </c>
      <c r="BQ40" s="1"/>
      <c r="BT40" s="1"/>
      <c r="BY40" s="194"/>
      <c r="BZ40" s="194"/>
      <c r="CA40" s="194"/>
      <c r="CB40" s="194"/>
      <c r="CC40" s="170"/>
      <c r="CD40" s="170"/>
      <c r="CE40" s="170"/>
      <c r="CF40" s="170"/>
      <c r="CG40" s="170"/>
      <c r="CH40" s="170"/>
      <c r="CI40" s="174"/>
      <c r="CJ40" s="174"/>
      <c r="CK40" s="174"/>
      <c r="CL40" s="174"/>
      <c r="CM40" s="285"/>
      <c r="CN40" s="285"/>
      <c r="CO40" s="285"/>
      <c r="CP40" s="285"/>
      <c r="CQ40" s="285"/>
      <c r="CR40" s="274"/>
      <c r="CS40" s="274"/>
      <c r="CT40" s="274"/>
      <c r="CU40" s="274"/>
      <c r="CV40" s="274"/>
      <c r="CW40" s="300"/>
      <c r="CX40" s="300"/>
      <c r="CY40" s="300"/>
      <c r="CZ40" s="300"/>
      <c r="DA40" s="310"/>
      <c r="DB40" s="310"/>
      <c r="DC40" s="310"/>
      <c r="DD40" s="310"/>
      <c r="DE40" s="320"/>
      <c r="DF40" s="320"/>
      <c r="DG40" s="320"/>
      <c r="DH40" s="320"/>
      <c r="DI40" s="320"/>
      <c r="DJ40" s="773"/>
      <c r="DK40" s="773"/>
      <c r="DL40" s="773"/>
      <c r="DM40" s="773"/>
      <c r="DN40" s="787"/>
      <c r="DO40" s="787"/>
      <c r="DP40" s="787"/>
      <c r="DQ40" s="787"/>
      <c r="DU40" s="840"/>
      <c r="EB40" s="10"/>
    </row>
    <row r="41" spans="1:132">
      <c r="A41" s="25" t="s">
        <v>64</v>
      </c>
      <c r="B41" s="853">
        <f>'Teamprofile (8)'!B40</f>
        <v>1</v>
      </c>
      <c r="C41" s="293"/>
      <c r="D41" s="895" t="s">
        <v>13</v>
      </c>
      <c r="E41" s="508">
        <f>'Teamprofile (8)'!C40</f>
        <v>0.90909090909090906</v>
      </c>
      <c r="F41" s="13"/>
      <c r="G41" s="892">
        <v>0.75</v>
      </c>
      <c r="H41" s="27">
        <f>'Teamprofile (8)'!D40</f>
        <v>0.4</v>
      </c>
      <c r="I41" s="27"/>
      <c r="J41" s="895" t="s">
        <v>13</v>
      </c>
      <c r="K41" s="513">
        <f>'Teamprofile (8)'!E40</f>
        <v>0.54545454545454541</v>
      </c>
      <c r="L41" s="294"/>
      <c r="M41" s="892">
        <v>1</v>
      </c>
      <c r="N41" s="854">
        <f t="shared" ref="N41:AA41" si="136">(N31+N33+N35)/N40</f>
        <v>1.625</v>
      </c>
      <c r="O41" s="854">
        <f t="shared" si="136"/>
        <v>1.75</v>
      </c>
      <c r="P41" s="855">
        <f t="shared" si="136"/>
        <v>2.2000000000000002</v>
      </c>
      <c r="Q41" s="856">
        <f t="shared" si="136"/>
        <v>1.25</v>
      </c>
      <c r="R41" s="857">
        <f t="shared" si="136"/>
        <v>3.4</v>
      </c>
      <c r="S41" s="163">
        <f t="shared" si="136"/>
        <v>0.8</v>
      </c>
      <c r="T41" s="162">
        <f t="shared" ref="T41:U41" si="137">(T31+T33+T35)/T40</f>
        <v>0.4</v>
      </c>
      <c r="U41" s="167">
        <f t="shared" si="137"/>
        <v>0.66666666666666663</v>
      </c>
      <c r="V41" s="162">
        <f t="shared" si="136"/>
        <v>0.5</v>
      </c>
      <c r="W41" s="858">
        <f t="shared" si="136"/>
        <v>1</v>
      </c>
      <c r="X41" s="859">
        <f t="shared" si="136"/>
        <v>3</v>
      </c>
      <c r="Y41" s="859">
        <f t="shared" si="136"/>
        <v>1.75</v>
      </c>
      <c r="Z41" s="860">
        <f t="shared" si="136"/>
        <v>3.2</v>
      </c>
      <c r="AA41" s="191">
        <f t="shared" si="136"/>
        <v>0.83333333333333337</v>
      </c>
      <c r="AB41" s="861">
        <f t="shared" ref="AB41:AF41" si="138">(AB31+AB33+AB35)/AB40</f>
        <v>2.125</v>
      </c>
      <c r="AC41" s="861">
        <f t="shared" si="138"/>
        <v>2</v>
      </c>
      <c r="AD41" s="861">
        <f t="shared" si="138"/>
        <v>2.5</v>
      </c>
      <c r="AE41" s="286">
        <f t="shared" si="138"/>
        <v>0.14285714285714285</v>
      </c>
      <c r="AF41" s="286">
        <f t="shared" si="138"/>
        <v>0.75</v>
      </c>
      <c r="AG41" s="275">
        <f t="shared" ref="AG41:AO41" si="139">(AG31+AG33+AG35)/AG40</f>
        <v>0.625</v>
      </c>
      <c r="AH41" s="275">
        <f t="shared" si="139"/>
        <v>0.375</v>
      </c>
      <c r="AI41" s="862">
        <f t="shared" ref="AI41" si="140">(AI31+AI33+AI35)/AI40</f>
        <v>1</v>
      </c>
      <c r="AJ41" s="275">
        <f t="shared" si="139"/>
        <v>0.66666666666666663</v>
      </c>
      <c r="AK41" s="275">
        <f t="shared" si="139"/>
        <v>0.6</v>
      </c>
      <c r="AL41" s="863">
        <f t="shared" si="139"/>
        <v>1.4</v>
      </c>
      <c r="AM41" s="863">
        <f t="shared" si="139"/>
        <v>1</v>
      </c>
      <c r="AN41" s="301">
        <f t="shared" si="139"/>
        <v>0.875</v>
      </c>
      <c r="AO41" s="863">
        <f t="shared" si="139"/>
        <v>1.2222222222222223</v>
      </c>
      <c r="AP41" s="864">
        <f t="shared" ref="AP41:AS41" si="141">(AP31+AP33+AP35)/AP40</f>
        <v>2</v>
      </c>
      <c r="AQ41" s="311">
        <f t="shared" si="141"/>
        <v>0.25</v>
      </c>
      <c r="AR41" s="311">
        <f t="shared" si="141"/>
        <v>0</v>
      </c>
      <c r="AS41" s="311">
        <f t="shared" si="141"/>
        <v>0.5</v>
      </c>
      <c r="AT41" s="321">
        <f t="shared" ref="AT41:BP41" si="142">(AT31+AT33+AT35)/AT40</f>
        <v>1</v>
      </c>
      <c r="AU41" s="321">
        <f t="shared" si="142"/>
        <v>0.25</v>
      </c>
      <c r="AV41" s="321">
        <f t="shared" si="142"/>
        <v>0</v>
      </c>
      <c r="AW41" s="865">
        <f t="shared" si="142"/>
        <v>1</v>
      </c>
      <c r="AX41" s="321">
        <f t="shared" si="142"/>
        <v>0.75</v>
      </c>
      <c r="AY41" s="774">
        <f t="shared" si="142"/>
        <v>0.375</v>
      </c>
      <c r="AZ41" s="774">
        <f t="shared" si="142"/>
        <v>0.25</v>
      </c>
      <c r="BA41" s="774">
        <f t="shared" si="142"/>
        <v>0.33333333333333331</v>
      </c>
      <c r="BB41" s="866">
        <f t="shared" si="142"/>
        <v>2.5</v>
      </c>
      <c r="BC41" s="788">
        <f t="shared" si="142"/>
        <v>0.7</v>
      </c>
      <c r="BD41" s="788">
        <f t="shared" si="142"/>
        <v>0.36363636363636365</v>
      </c>
      <c r="BE41" s="788">
        <f t="shared" si="142"/>
        <v>0.66666666666666663</v>
      </c>
      <c r="BF41" s="788">
        <f t="shared" si="142"/>
        <v>9.0909090909090912E-2</v>
      </c>
      <c r="BG41" s="508">
        <f t="shared" si="142"/>
        <v>0.83333333333333337</v>
      </c>
      <c r="BH41" s="508">
        <f t="shared" si="142"/>
        <v>0.3</v>
      </c>
      <c r="BI41" s="27">
        <f t="shared" si="142"/>
        <v>0.44444444444444442</v>
      </c>
      <c r="BJ41" s="830">
        <f t="shared" si="142"/>
        <v>0.22222222222222221</v>
      </c>
      <c r="BK41" s="508">
        <f t="shared" si="142"/>
        <v>0.66666666666666663</v>
      </c>
      <c r="BL41" s="508">
        <f t="shared" si="142"/>
        <v>0.14285714285714285</v>
      </c>
      <c r="BM41" s="27">
        <f t="shared" si="142"/>
        <v>0.25</v>
      </c>
      <c r="BN41" s="513">
        <f t="shared" si="142"/>
        <v>0.8</v>
      </c>
      <c r="BO41" s="867">
        <f t="shared" si="142"/>
        <v>2.3333333333333335</v>
      </c>
      <c r="BP41" s="868">
        <f t="shared" si="142"/>
        <v>4</v>
      </c>
      <c r="BQ41" s="1"/>
      <c r="BT41" s="1"/>
      <c r="BY41" s="194"/>
      <c r="BZ41" s="194"/>
      <c r="CA41" s="194"/>
      <c r="CB41" s="194"/>
      <c r="CC41" s="170"/>
      <c r="CD41" s="170"/>
      <c r="CE41" s="170"/>
      <c r="CF41" s="170"/>
      <c r="CG41" s="170"/>
      <c r="CH41" s="170"/>
      <c r="CI41" s="174"/>
      <c r="CJ41" s="174"/>
      <c r="CK41" s="174"/>
      <c r="CL41" s="174"/>
      <c r="CM41" s="286"/>
      <c r="CN41" s="286"/>
      <c r="CO41" s="286"/>
      <c r="CP41" s="286"/>
      <c r="CQ41" s="286"/>
      <c r="CR41" s="275"/>
      <c r="CS41" s="275"/>
      <c r="CT41" s="275"/>
      <c r="CU41" s="275"/>
      <c r="CV41" s="275"/>
      <c r="CW41" s="301"/>
      <c r="CX41" s="301"/>
      <c r="CY41" s="301"/>
      <c r="CZ41" s="301"/>
      <c r="DA41" s="311"/>
      <c r="DB41" s="311"/>
      <c r="DC41" s="311"/>
      <c r="DD41" s="311"/>
      <c r="DE41" s="321"/>
      <c r="DF41" s="321"/>
      <c r="DG41" s="321"/>
      <c r="DH41" s="321"/>
      <c r="DI41" s="321"/>
      <c r="DJ41" s="774"/>
      <c r="DK41" s="774"/>
      <c r="DL41" s="774"/>
      <c r="DM41" s="774"/>
      <c r="DN41" s="788"/>
      <c r="DO41" s="788"/>
      <c r="DP41" s="788"/>
      <c r="DQ41" s="788"/>
      <c r="DU41" s="840"/>
      <c r="EB41" s="10"/>
    </row>
    <row r="42" spans="1:132" s="2" customFormat="1" ht="6" customHeight="1">
      <c r="B42" s="10">
        <f>'Teamprofile (8)'!B41</f>
        <v>0</v>
      </c>
      <c r="C42" s="10"/>
      <c r="D42" s="887"/>
      <c r="E42" s="10">
        <f>'Teamprofile (8)'!C41</f>
        <v>0</v>
      </c>
      <c r="F42" s="10"/>
      <c r="G42" s="887"/>
      <c r="H42" s="10">
        <f>'Teamprofile (8)'!D41</f>
        <v>0</v>
      </c>
      <c r="I42" s="10"/>
      <c r="J42" s="887"/>
      <c r="K42" s="10">
        <f>'Teamprofile (8)'!E41</f>
        <v>0</v>
      </c>
      <c r="L42" s="10"/>
      <c r="M42" s="887"/>
      <c r="N42" s="10"/>
      <c r="O42" s="10"/>
      <c r="P42" s="10"/>
      <c r="Q42" s="10"/>
      <c r="R42" s="10"/>
      <c r="S42" s="10"/>
      <c r="T42" s="506"/>
      <c r="U42" s="506"/>
      <c r="V42" s="10"/>
      <c r="W42" s="10"/>
      <c r="X42" s="10"/>
      <c r="Y42" s="10"/>
      <c r="Z42" s="10"/>
      <c r="AA42" s="10"/>
      <c r="AB42" s="10"/>
      <c r="AC42" s="506"/>
      <c r="AD42" s="506"/>
      <c r="AE42" s="506"/>
      <c r="AF42" s="506"/>
      <c r="AG42" s="506"/>
      <c r="AH42" s="506"/>
      <c r="AI42" s="506"/>
      <c r="AJ42" s="506"/>
      <c r="AK42" s="10"/>
      <c r="AL42" s="506"/>
      <c r="AM42" s="506"/>
      <c r="AN42" s="10"/>
      <c r="AO42" s="10"/>
      <c r="AP42" s="10"/>
      <c r="AQ42" s="10"/>
      <c r="AR42" s="506"/>
      <c r="AS42" s="506"/>
      <c r="AT42" s="10"/>
      <c r="AU42" s="506"/>
      <c r="AV42" s="506"/>
      <c r="AW42" s="506"/>
      <c r="AX42" s="10"/>
      <c r="AY42" s="506"/>
      <c r="AZ42" s="506"/>
      <c r="BA42" s="506"/>
      <c r="BB42" s="506"/>
      <c r="BC42" s="506"/>
      <c r="BD42" s="506"/>
      <c r="BE42" s="506"/>
      <c r="BF42" s="506"/>
      <c r="BG42" s="506"/>
      <c r="BH42" s="506"/>
      <c r="BI42" s="506"/>
      <c r="BJ42" s="827"/>
      <c r="BK42" s="506"/>
      <c r="BL42" s="506"/>
      <c r="BM42" s="506"/>
      <c r="BN42" s="506"/>
      <c r="BO42" s="506"/>
      <c r="BP42" s="506"/>
      <c r="BR42" s="219"/>
      <c r="BS42" s="219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506"/>
      <c r="CF42" s="506"/>
      <c r="CG42" s="10"/>
      <c r="CH42" s="10"/>
      <c r="CI42" s="10"/>
      <c r="CJ42" s="10"/>
      <c r="CK42" s="10"/>
      <c r="CL42" s="10"/>
      <c r="CM42" s="506"/>
      <c r="CN42" s="506"/>
      <c r="CO42" s="506"/>
      <c r="CP42" s="506"/>
      <c r="CQ42" s="10"/>
      <c r="CR42" s="506"/>
      <c r="CS42" s="506"/>
      <c r="CT42" s="506"/>
      <c r="CU42" s="506"/>
      <c r="CV42" s="10"/>
      <c r="CW42" s="506"/>
      <c r="CX42" s="506"/>
      <c r="CY42" s="10"/>
      <c r="CZ42" s="10"/>
      <c r="DA42" s="506"/>
      <c r="DB42" s="506"/>
      <c r="DC42" s="10"/>
      <c r="DD42" s="10"/>
      <c r="DE42" s="506"/>
      <c r="DF42" s="506"/>
      <c r="DG42" s="506"/>
      <c r="DH42" s="10"/>
      <c r="DI42" s="10"/>
      <c r="DJ42" s="506"/>
      <c r="DK42" s="506"/>
      <c r="DL42" s="506"/>
      <c r="DM42" s="506"/>
      <c r="DN42" s="506"/>
      <c r="DO42" s="506"/>
      <c r="DP42" s="506"/>
      <c r="DQ42" s="506"/>
      <c r="DR42" s="506"/>
      <c r="DS42" s="506"/>
      <c r="DT42" s="506"/>
      <c r="DU42" s="827"/>
      <c r="DV42" s="506"/>
      <c r="DW42" s="506"/>
      <c r="DX42" s="506"/>
      <c r="DY42" s="506"/>
      <c r="DZ42" s="506"/>
      <c r="EA42" s="506"/>
      <c r="EB42" s="506"/>
    </row>
    <row r="43" spans="1:132">
      <c r="A43" s="20" t="s">
        <v>16</v>
      </c>
      <c r="B43" s="17">
        <f>'Teamprofile (8)'!B42</f>
        <v>7</v>
      </c>
      <c r="C43" s="17"/>
      <c r="D43" s="886">
        <v>3</v>
      </c>
      <c r="E43" s="17">
        <f>'Teamprofile (8)'!C42</f>
        <v>3</v>
      </c>
      <c r="F43" s="17"/>
      <c r="G43" s="891">
        <v>0</v>
      </c>
      <c r="H43" s="19">
        <f>'Teamprofile (8)'!D42</f>
        <v>3</v>
      </c>
      <c r="I43" s="19"/>
      <c r="J43" s="884">
        <v>6</v>
      </c>
      <c r="K43" s="876">
        <v>0</v>
      </c>
      <c r="L43" s="16"/>
      <c r="M43" s="884">
        <v>0</v>
      </c>
      <c r="N43" s="204">
        <v>6</v>
      </c>
      <c r="O43" s="204">
        <v>3</v>
      </c>
      <c r="P43" s="204">
        <v>3</v>
      </c>
      <c r="Q43" s="195">
        <v>2</v>
      </c>
      <c r="R43" s="155">
        <v>10</v>
      </c>
      <c r="S43" s="155">
        <v>1</v>
      </c>
      <c r="T43" s="157"/>
      <c r="U43" s="598"/>
      <c r="V43" s="598"/>
      <c r="W43" s="156">
        <v>1</v>
      </c>
      <c r="X43" s="185">
        <v>12</v>
      </c>
      <c r="Y43" s="185"/>
      <c r="Z43" s="186">
        <v>2</v>
      </c>
      <c r="AA43" s="175"/>
      <c r="AB43" s="282">
        <v>9</v>
      </c>
      <c r="AC43" s="282"/>
      <c r="AD43" s="282"/>
      <c r="AE43" s="282"/>
      <c r="AF43" s="282"/>
      <c r="AG43" s="271">
        <v>7</v>
      </c>
      <c r="AH43" s="271"/>
      <c r="AI43" s="271">
        <v>1</v>
      </c>
      <c r="AJ43" s="271">
        <v>1</v>
      </c>
      <c r="AK43" s="271"/>
      <c r="AL43" s="297">
        <v>4</v>
      </c>
      <c r="AM43" s="297"/>
      <c r="AN43" s="297">
        <v>1</v>
      </c>
      <c r="AO43" s="297">
        <v>2</v>
      </c>
      <c r="AP43" s="307">
        <v>9</v>
      </c>
      <c r="AQ43" s="307"/>
      <c r="AR43" s="307"/>
      <c r="AS43" s="307"/>
      <c r="AT43" s="317">
        <v>1</v>
      </c>
      <c r="AU43" s="317">
        <v>1</v>
      </c>
      <c r="AV43" s="317"/>
      <c r="AW43" s="317">
        <v>2</v>
      </c>
      <c r="AX43" s="317">
        <v>3</v>
      </c>
      <c r="AY43" s="768">
        <v>4</v>
      </c>
      <c r="AZ43" s="768"/>
      <c r="BA43" s="768">
        <v>3</v>
      </c>
      <c r="BB43" s="768">
        <v>2</v>
      </c>
      <c r="BC43" s="782">
        <v>8</v>
      </c>
      <c r="BD43" s="782"/>
      <c r="BE43" s="782"/>
      <c r="BF43" s="782"/>
      <c r="BG43" s="17">
        <v>7</v>
      </c>
      <c r="BH43" s="17">
        <v>1</v>
      </c>
      <c r="BI43" s="17"/>
      <c r="BJ43" s="823"/>
      <c r="BK43" s="17">
        <v>5</v>
      </c>
      <c r="BL43" s="17"/>
      <c r="BM43" s="19"/>
      <c r="BN43" s="510"/>
      <c r="BO43" s="510">
        <v>2</v>
      </c>
      <c r="BP43" s="510"/>
      <c r="BQ43" s="1"/>
      <c r="BT43" s="1"/>
      <c r="BY43" s="194"/>
      <c r="BZ43" s="194"/>
      <c r="CA43" s="194"/>
      <c r="CB43" s="194"/>
      <c r="CC43" s="170"/>
      <c r="CD43" s="170"/>
      <c r="CE43" s="170"/>
      <c r="CF43" s="170"/>
      <c r="CG43" s="170"/>
      <c r="CH43" s="170"/>
      <c r="CI43" s="174"/>
      <c r="CJ43" s="174"/>
      <c r="CK43" s="174"/>
      <c r="CL43" s="174"/>
      <c r="CM43" s="282"/>
      <c r="CN43" s="282"/>
      <c r="CO43" s="282"/>
      <c r="CP43" s="282"/>
      <c r="CQ43" s="282"/>
      <c r="CR43" s="271"/>
      <c r="CS43" s="271"/>
      <c r="CT43" s="271"/>
      <c r="CU43" s="271"/>
      <c r="CV43" s="271"/>
      <c r="CW43" s="297"/>
      <c r="CX43" s="297"/>
      <c r="CY43" s="297"/>
      <c r="CZ43" s="297"/>
      <c r="DA43" s="307"/>
      <c r="DB43" s="307"/>
      <c r="DC43" s="307"/>
      <c r="DD43" s="307"/>
      <c r="DE43" s="317"/>
      <c r="DF43" s="317"/>
      <c r="DG43" s="317"/>
      <c r="DH43" s="317"/>
      <c r="DI43" s="317"/>
      <c r="DJ43" s="768"/>
      <c r="DK43" s="768"/>
      <c r="DL43" s="768"/>
      <c r="DM43" s="768"/>
      <c r="DN43" s="782"/>
      <c r="DO43" s="782"/>
      <c r="DP43" s="782"/>
      <c r="DQ43" s="782"/>
      <c r="DU43" s="840"/>
      <c r="EB43" s="10"/>
    </row>
    <row r="44" spans="1:132" s="6" customFormat="1" ht="15.75">
      <c r="A44" s="15" t="s">
        <v>15</v>
      </c>
      <c r="B44" s="878">
        <f>'Teamprofile (8)'!B43</f>
        <v>10.857142857142858</v>
      </c>
      <c r="C44" s="509">
        <f>(B44/D44)-1</f>
        <v>0.12315270935960609</v>
      </c>
      <c r="D44" s="900">
        <v>9.6666666666666661</v>
      </c>
      <c r="E44" s="351">
        <f>'Teamprofile (8)'!C43</f>
        <v>5.666666666666667</v>
      </c>
      <c r="F44" s="406"/>
      <c r="G44" s="896" t="s">
        <v>13</v>
      </c>
      <c r="H44" s="878">
        <f>'Teamprofile (8)'!D43</f>
        <v>9.6666666666666661</v>
      </c>
      <c r="I44" s="509">
        <f>(H44/J44)-1</f>
        <v>0.65714285714285703</v>
      </c>
      <c r="J44" s="900">
        <v>5.833333333333333</v>
      </c>
      <c r="K44" s="916" t="s">
        <v>13</v>
      </c>
      <c r="L44" s="406"/>
      <c r="M44" s="917" t="s">
        <v>13</v>
      </c>
      <c r="N44" s="363">
        <f>(11+11+9+12+12+12)/N43</f>
        <v>11.166666666666666</v>
      </c>
      <c r="O44" s="716">
        <f>(11+12+11)/O43</f>
        <v>11.333333333333334</v>
      </c>
      <c r="P44" s="374">
        <f>(11+12+10)/P43</f>
        <v>11</v>
      </c>
      <c r="Q44" s="374">
        <f>(10+11)/Q43</f>
        <v>10.5</v>
      </c>
      <c r="R44" s="407">
        <f>(12+6+11+12+9+12+10+12+10+11)/R43</f>
        <v>10.5</v>
      </c>
      <c r="S44" s="678">
        <f>(6)/S43</f>
        <v>6</v>
      </c>
      <c r="T44" s="408"/>
      <c r="U44" s="408"/>
      <c r="V44" s="408"/>
      <c r="W44" s="678">
        <f>(4)/W43</f>
        <v>4</v>
      </c>
      <c r="X44" s="723">
        <f>(11+11+11+12+12+12+12+12+12+12+9+11)/X43</f>
        <v>11.416666666666666</v>
      </c>
      <c r="Y44" s="409"/>
      <c r="Z44" s="717">
        <f>(12+10)/Z43</f>
        <v>11</v>
      </c>
      <c r="AA44" s="409"/>
      <c r="AB44" s="722">
        <f>(11+11+11+12+12+12+10+10+10)/AB43</f>
        <v>11</v>
      </c>
      <c r="AC44" s="410"/>
      <c r="AD44" s="410"/>
      <c r="AE44" s="410"/>
      <c r="AF44" s="410"/>
      <c r="AG44" s="699">
        <f>(5+7+10+11+11+9+8)/AG43</f>
        <v>8.7142857142857135</v>
      </c>
      <c r="AH44" s="699"/>
      <c r="AI44" s="742">
        <f>(11)/AI43</f>
        <v>11</v>
      </c>
      <c r="AJ44" s="699">
        <f>(10)/AJ43</f>
        <v>10</v>
      </c>
      <c r="AK44" s="699"/>
      <c r="AL44" s="746">
        <f>(11+10+9+9)/AL43</f>
        <v>9.75</v>
      </c>
      <c r="AM44" s="700"/>
      <c r="AN44" s="700">
        <f>(5)/AN43</f>
        <v>5</v>
      </c>
      <c r="AO44" s="700">
        <f>(0+10)/AO43</f>
        <v>5</v>
      </c>
      <c r="AP44" s="751">
        <f>(6+7+7+9+5+4+11+11+8)/AP43</f>
        <v>7.5555555555555554</v>
      </c>
      <c r="AQ44" s="411"/>
      <c r="AR44" s="411"/>
      <c r="AS44" s="411"/>
      <c r="AT44" s="730">
        <f>(4)/AT43</f>
        <v>4</v>
      </c>
      <c r="AU44" s="730">
        <f>(3)/AU43</f>
        <v>3</v>
      </c>
      <c r="AV44" s="730"/>
      <c r="AW44" s="730">
        <f>(0+10)/AW43</f>
        <v>5</v>
      </c>
      <c r="AX44" s="732">
        <f>(9+11+5)/AX43</f>
        <v>8.3333333333333339</v>
      </c>
      <c r="AY44" s="799">
        <f>(12+7+5+9)/AY43</f>
        <v>8.25</v>
      </c>
      <c r="AZ44" s="799"/>
      <c r="BA44" s="799">
        <f>(8+7+9)/BA43</f>
        <v>8</v>
      </c>
      <c r="BB44" s="731">
        <f>(5+12)/BB43</f>
        <v>8.5</v>
      </c>
      <c r="BC44" s="743">
        <f>(8+8+0+10+10+12+10+10)/BC43</f>
        <v>8.5</v>
      </c>
      <c r="BD44" s="804"/>
      <c r="BE44" s="804"/>
      <c r="BF44" s="804"/>
      <c r="BG44" s="808">
        <f>(0+0+0+10+7+7+9)/BG43</f>
        <v>4.7142857142857144</v>
      </c>
      <c r="BH44" s="337">
        <f>(0)/BH43</f>
        <v>0</v>
      </c>
      <c r="BI44" s="336"/>
      <c r="BJ44" s="829"/>
      <c r="BK44" s="350">
        <f>(12+8+9+7+11)/BK43</f>
        <v>9.4</v>
      </c>
      <c r="BL44" s="351"/>
      <c r="BM44" s="406"/>
      <c r="BN44" s="406"/>
      <c r="BO44" s="848">
        <f>(11+12)/BO43</f>
        <v>11.5</v>
      </c>
      <c r="BP44" s="351"/>
      <c r="BQ44" s="352"/>
      <c r="BR44" s="386">
        <f>MAX(N44:BP44,K44,H44,E44,B44)</f>
        <v>11.5</v>
      </c>
      <c r="BS44" s="386">
        <f>MIN(N44:BP44,K44,H44,E44,B44)</f>
        <v>0</v>
      </c>
      <c r="BT44" s="352"/>
      <c r="BU44" s="226">
        <f>B44/$BR44</f>
        <v>0.94409937888198758</v>
      </c>
      <c r="BV44" s="354">
        <f>E44/$BR44</f>
        <v>0.49275362318840582</v>
      </c>
      <c r="BW44" s="332">
        <f>H44/$BR44</f>
        <v>0.84057971014492749</v>
      </c>
      <c r="BX44" s="412"/>
      <c r="BY44" s="227">
        <f t="shared" ref="BY44:CD44" si="143">N44/$BR44</f>
        <v>0.97101449275362317</v>
      </c>
      <c r="BZ44" s="355">
        <f t="shared" si="143"/>
        <v>0.98550724637681164</v>
      </c>
      <c r="CA44" s="727">
        <f t="shared" si="143"/>
        <v>0.95652173913043481</v>
      </c>
      <c r="CB44" s="727">
        <f t="shared" si="143"/>
        <v>0.91304347826086951</v>
      </c>
      <c r="CC44" s="355">
        <f t="shared" si="143"/>
        <v>0.91304347826086951</v>
      </c>
      <c r="CD44" s="765">
        <f t="shared" si="143"/>
        <v>0.52173913043478259</v>
      </c>
      <c r="CE44" s="728"/>
      <c r="CF44" s="728"/>
      <c r="CG44" s="728"/>
      <c r="CH44" s="728">
        <f>W44/$BR44</f>
        <v>0.34782608695652173</v>
      </c>
      <c r="CI44" s="355">
        <f>X44/$BR44</f>
        <v>0.99275362318840576</v>
      </c>
      <c r="CJ44" s="729"/>
      <c r="CK44" s="765">
        <f>Z44/$BR44</f>
        <v>0.95652173913043481</v>
      </c>
      <c r="CL44" s="729"/>
      <c r="CM44" s="355">
        <f>AB44/$BR44</f>
        <v>0.95652173913043481</v>
      </c>
      <c r="CN44" s="413"/>
      <c r="CO44" s="413"/>
      <c r="CP44" s="413"/>
      <c r="CQ44" s="413"/>
      <c r="CR44" s="761">
        <f>AG44/$BR44</f>
        <v>0.75776397515527949</v>
      </c>
      <c r="CS44" s="761"/>
      <c r="CT44" s="355">
        <f>AI44/$BR44</f>
        <v>0.95652173913043481</v>
      </c>
      <c r="CU44" s="766">
        <f>AJ44/$BR44</f>
        <v>0.86956521739130432</v>
      </c>
      <c r="CV44" s="761"/>
      <c r="CW44" s="355">
        <f>AL44/$BR44</f>
        <v>0.84782608695652173</v>
      </c>
      <c r="CX44" s="762"/>
      <c r="CY44" s="227">
        <f>AN44/$BR44</f>
        <v>0.43478260869565216</v>
      </c>
      <c r="CZ44" s="227">
        <f>AO44/$BR44</f>
        <v>0.43478260869565216</v>
      </c>
      <c r="DA44" s="355">
        <f>AP44/$BR44</f>
        <v>0.65700483091787443</v>
      </c>
      <c r="DB44" s="763"/>
      <c r="DC44" s="763"/>
      <c r="DD44" s="763"/>
      <c r="DE44" s="764">
        <f>AT44/$BR44</f>
        <v>0.34782608695652173</v>
      </c>
      <c r="DF44" s="764">
        <f>AU44/$BR44</f>
        <v>0.2608695652173913</v>
      </c>
      <c r="DG44" s="764"/>
      <c r="DH44" s="766">
        <f>AW44/$BR44</f>
        <v>0.43478260869565216</v>
      </c>
      <c r="DI44" s="355">
        <f>AX44/$BR44</f>
        <v>0.72463768115942029</v>
      </c>
      <c r="DJ44" s="765">
        <f>AY44/$BR44</f>
        <v>0.71739130434782605</v>
      </c>
      <c r="DK44" s="810"/>
      <c r="DL44" s="810">
        <f>BA44/$BR44</f>
        <v>0.69565217391304346</v>
      </c>
      <c r="DM44" s="817">
        <f>BB44/$BR44</f>
        <v>0.73913043478260865</v>
      </c>
      <c r="DN44" s="817">
        <f>BC44/$BR44</f>
        <v>0.73913043478260865</v>
      </c>
      <c r="DO44" s="811"/>
      <c r="DP44" s="811"/>
      <c r="DQ44" s="811"/>
      <c r="DR44" s="226">
        <f>BG44/$BR44</f>
        <v>0.40993788819875776</v>
      </c>
      <c r="DS44" s="843"/>
      <c r="DT44" s="354"/>
      <c r="DU44" s="842"/>
      <c r="DV44" s="765">
        <f>BK44/$BR44</f>
        <v>0.81739130434782614</v>
      </c>
      <c r="DW44" s="845"/>
      <c r="DX44" s="354"/>
      <c r="DY44" s="354"/>
      <c r="DZ44" s="817">
        <f>BO44/$BR44</f>
        <v>1</v>
      </c>
      <c r="EA44" s="354"/>
      <c r="EB44" s="8"/>
    </row>
    <row r="45" spans="1:132" s="2" customFormat="1" ht="6" customHeight="1">
      <c r="B45" s="10"/>
      <c r="C45" s="10"/>
      <c r="D45" s="897"/>
      <c r="E45" s="10"/>
      <c r="F45" s="10"/>
      <c r="G45" s="897"/>
      <c r="H45" s="10"/>
      <c r="I45" s="10"/>
      <c r="J45" s="897"/>
      <c r="K45" s="10"/>
      <c r="L45" s="10"/>
      <c r="M45" s="897"/>
      <c r="N45" s="10"/>
      <c r="O45" s="10"/>
      <c r="P45" s="10"/>
      <c r="Q45" s="10"/>
      <c r="R45" s="10"/>
      <c r="S45" s="10"/>
      <c r="T45" s="506"/>
      <c r="U45" s="506"/>
      <c r="V45" s="10"/>
      <c r="W45" s="10"/>
      <c r="X45" s="10"/>
      <c r="Y45" s="10"/>
      <c r="Z45" s="10"/>
      <c r="AA45" s="10"/>
      <c r="AB45" s="10"/>
      <c r="AC45" s="506"/>
      <c r="AD45" s="506"/>
      <c r="AE45" s="506"/>
      <c r="AF45" s="506"/>
      <c r="AG45" s="506"/>
      <c r="AH45" s="506"/>
      <c r="AI45" s="506"/>
      <c r="AJ45" s="506"/>
      <c r="AK45" s="10"/>
      <c r="AL45" s="506"/>
      <c r="AM45" s="506"/>
      <c r="AN45" s="10"/>
      <c r="AO45" s="10"/>
      <c r="AP45" s="10"/>
      <c r="AQ45" s="506"/>
      <c r="AR45" s="506"/>
      <c r="AS45" s="506"/>
      <c r="AT45" s="10"/>
      <c r="AU45" s="506"/>
      <c r="AV45" s="506"/>
      <c r="AW45" s="506"/>
      <c r="AX45" s="10"/>
      <c r="AY45" s="506"/>
      <c r="AZ45" s="506"/>
      <c r="BA45" s="506"/>
      <c r="BB45" s="506"/>
      <c r="BC45" s="506"/>
      <c r="BD45" s="506"/>
      <c r="BE45" s="506"/>
      <c r="BF45" s="506"/>
      <c r="BG45" s="506"/>
      <c r="BH45" s="506"/>
      <c r="BI45" s="506"/>
      <c r="BJ45" s="827"/>
      <c r="BK45" s="506"/>
      <c r="BL45" s="506"/>
      <c r="BM45" s="506"/>
      <c r="BN45" s="506"/>
      <c r="BO45" s="506"/>
      <c r="BP45" s="506"/>
      <c r="BR45" s="219"/>
      <c r="BS45" s="219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506"/>
      <c r="CF45" s="506"/>
      <c r="CG45" s="10"/>
      <c r="CH45" s="10"/>
      <c r="CI45" s="10"/>
      <c r="CJ45" s="10"/>
      <c r="CK45" s="10"/>
      <c r="CL45" s="10"/>
      <c r="CM45" s="506"/>
      <c r="CN45" s="506"/>
      <c r="CO45" s="506"/>
      <c r="CP45" s="506"/>
      <c r="CQ45" s="10"/>
      <c r="CR45" s="506"/>
      <c r="CS45" s="506"/>
      <c r="CT45" s="506"/>
      <c r="CU45" s="506"/>
      <c r="CV45" s="10"/>
      <c r="CW45" s="506"/>
      <c r="CX45" s="506"/>
      <c r="CY45" s="10"/>
      <c r="CZ45" s="10"/>
      <c r="DA45" s="506"/>
      <c r="DB45" s="506"/>
      <c r="DC45" s="10"/>
      <c r="DD45" s="10"/>
      <c r="DE45" s="506"/>
      <c r="DF45" s="506"/>
      <c r="DG45" s="506"/>
      <c r="DH45" s="10"/>
      <c r="DI45" s="10"/>
      <c r="DJ45" s="506"/>
      <c r="DK45" s="506"/>
      <c r="DL45" s="506"/>
      <c r="DM45" s="506"/>
      <c r="DN45" s="506"/>
      <c r="DO45" s="506"/>
      <c r="DP45" s="506"/>
      <c r="DQ45" s="506"/>
      <c r="DR45" s="506"/>
      <c r="DS45" s="506"/>
      <c r="DT45" s="506"/>
      <c r="DU45" s="827"/>
      <c r="DV45" s="506"/>
      <c r="DW45" s="506"/>
      <c r="DX45" s="506"/>
      <c r="DY45" s="506"/>
      <c r="DZ45" s="506"/>
      <c r="EA45" s="506"/>
      <c r="EB45" s="10"/>
    </row>
    <row r="46" spans="1:132" s="6" customFormat="1" ht="15.75">
      <c r="A46" s="6" t="s">
        <v>14</v>
      </c>
      <c r="B46" s="226">
        <f>BU46</f>
        <v>0.55421844447465118</v>
      </c>
      <c r="C46" s="505"/>
      <c r="D46" s="898"/>
      <c r="E46" s="9">
        <f>BV46</f>
        <v>0.40602168719061094</v>
      </c>
      <c r="F46" s="9"/>
      <c r="G46" s="898"/>
      <c r="H46" s="505">
        <f>BW46</f>
        <v>0.47151501672786572</v>
      </c>
      <c r="I46" s="105"/>
      <c r="J46" s="898"/>
      <c r="K46" s="9">
        <f>BX46</f>
        <v>0.27019435482550236</v>
      </c>
      <c r="L46" s="9"/>
      <c r="M46" s="898"/>
      <c r="N46" s="199">
        <f>BY46</f>
        <v>0.62107806118408404</v>
      </c>
      <c r="O46" s="397">
        <f t="shared" ref="O46:AX46" si="144">BZ46</f>
        <v>0.66741851927276019</v>
      </c>
      <c r="P46" s="199">
        <f t="shared" si="144"/>
        <v>0.5802830854669403</v>
      </c>
      <c r="Q46" s="199">
        <f t="shared" si="144"/>
        <v>0.5744581483736183</v>
      </c>
      <c r="R46" s="388">
        <f t="shared" si="144"/>
        <v>0.59400914038048747</v>
      </c>
      <c r="S46" s="168">
        <f t="shared" si="144"/>
        <v>0.28762440290211788</v>
      </c>
      <c r="T46" s="168">
        <f t="shared" si="144"/>
        <v>0.39080536039552433</v>
      </c>
      <c r="U46" s="168">
        <f t="shared" si="144"/>
        <v>0.43337073900598494</v>
      </c>
      <c r="V46" s="168">
        <f t="shared" si="144"/>
        <v>0.35900213174803336</v>
      </c>
      <c r="W46" s="168">
        <f t="shared" si="144"/>
        <v>0.2947720870244035</v>
      </c>
      <c r="X46" s="389">
        <f t="shared" si="144"/>
        <v>0.65110772995346866</v>
      </c>
      <c r="Y46" s="180">
        <f t="shared" si="144"/>
        <v>0.44355776247801393</v>
      </c>
      <c r="Z46" s="180">
        <f t="shared" si="144"/>
        <v>0.60805058301166637</v>
      </c>
      <c r="AA46" s="180">
        <f t="shared" si="144"/>
        <v>0.27714676034348168</v>
      </c>
      <c r="AB46" s="290">
        <f t="shared" si="144"/>
        <v>0.69781523341893981</v>
      </c>
      <c r="AC46" s="290">
        <f t="shared" si="144"/>
        <v>0.37580015612802492</v>
      </c>
      <c r="AD46" s="721">
        <f t="shared" si="144"/>
        <v>0.85178571428571426</v>
      </c>
      <c r="AE46" s="290">
        <f t="shared" si="144"/>
        <v>0.20194704657819412</v>
      </c>
      <c r="AF46" s="290">
        <f t="shared" si="144"/>
        <v>0.32351385636221697</v>
      </c>
      <c r="AG46" s="279">
        <f t="shared" si="144"/>
        <v>0.33710837366540297</v>
      </c>
      <c r="AH46" s="279">
        <f t="shared" si="144"/>
        <v>0.17422053756494116</v>
      </c>
      <c r="AI46" s="279">
        <f t="shared" si="144"/>
        <v>0.41788943759970126</v>
      </c>
      <c r="AJ46" s="396">
        <f t="shared" si="144"/>
        <v>0.54788916731444071</v>
      </c>
      <c r="AK46" s="279">
        <f t="shared" si="144"/>
        <v>0.39891815256764518</v>
      </c>
      <c r="AL46" s="757">
        <f t="shared" si="144"/>
        <v>0.45198570005943262</v>
      </c>
      <c r="AM46" s="304">
        <f t="shared" si="144"/>
        <v>0.19568137737776015</v>
      </c>
      <c r="AN46" s="304">
        <f t="shared" si="144"/>
        <v>0.35945992422613948</v>
      </c>
      <c r="AO46" s="304">
        <f t="shared" si="144"/>
        <v>0.42426331330821709</v>
      </c>
      <c r="AP46" s="758">
        <f t="shared" si="144"/>
        <v>0.46663717797247983</v>
      </c>
      <c r="AQ46" s="314">
        <f t="shared" si="144"/>
        <v>0.2275639268102283</v>
      </c>
      <c r="AR46" s="314">
        <f t="shared" si="144"/>
        <v>0.46596409055425447</v>
      </c>
      <c r="AS46" s="314">
        <f t="shared" si="144"/>
        <v>0.35303503418257515</v>
      </c>
      <c r="AT46" s="325">
        <f t="shared" si="144"/>
        <v>0.31388413490366446</v>
      </c>
      <c r="AU46" s="325">
        <f t="shared" si="144"/>
        <v>0.20680467026439944</v>
      </c>
      <c r="AV46" s="325">
        <f t="shared" si="144"/>
        <v>0.38461651053864171</v>
      </c>
      <c r="AW46" s="325">
        <f t="shared" si="144"/>
        <v>0.34756151783592981</v>
      </c>
      <c r="AX46" s="754">
        <f t="shared" si="144"/>
        <v>0.44140372670807454</v>
      </c>
      <c r="AY46" s="756">
        <f t="shared" ref="AY46" si="145">DJ46</f>
        <v>0.36542444525750978</v>
      </c>
      <c r="AZ46" s="756">
        <f t="shared" ref="AZ46" si="146">DK46</f>
        <v>0.19329386861932665</v>
      </c>
      <c r="BA46" s="756">
        <f t="shared" ref="BA46" si="147">DL46</f>
        <v>0.26276197264365475</v>
      </c>
      <c r="BB46" s="755">
        <f t="shared" ref="BB46" si="148">DM46</f>
        <v>0.57241139826314458</v>
      </c>
      <c r="BC46" s="753">
        <f t="shared" ref="BC46" si="149">DN46</f>
        <v>0.37953607915012044</v>
      </c>
      <c r="BD46" s="805">
        <f t="shared" ref="BD46" si="150">DO46</f>
        <v>0.33637628908336414</v>
      </c>
      <c r="BE46" s="805">
        <f t="shared" ref="BE46" si="151">DP46</f>
        <v>0.33578659947585593</v>
      </c>
      <c r="BF46" s="805">
        <f t="shared" ref="BF46" si="152">DQ46</f>
        <v>0.14038674212854541</v>
      </c>
      <c r="BG46" s="752">
        <f t="shared" ref="BG46" si="153">DR46</f>
        <v>0.45965789726700262</v>
      </c>
      <c r="BH46" s="505">
        <f t="shared" ref="BH46" si="154">DS46</f>
        <v>0.21786494925839184</v>
      </c>
      <c r="BI46" s="505">
        <f t="shared" ref="BI46" si="155">DT46</f>
        <v>0.38320160031225603</v>
      </c>
      <c r="BJ46" s="837">
        <f t="shared" ref="BJ46" si="156">DU46</f>
        <v>0.44404602885477201</v>
      </c>
      <c r="BK46" s="505">
        <f t="shared" ref="BK46" si="157">DV46</f>
        <v>0.45043925777591731</v>
      </c>
      <c r="BL46" s="505">
        <f t="shared" ref="BL46" si="158">DW46</f>
        <v>0.16219449948958145</v>
      </c>
      <c r="BM46" s="505">
        <f t="shared" ref="BM46" si="159">DX46</f>
        <v>0.1274929742388759</v>
      </c>
      <c r="BN46" s="505">
        <f t="shared" ref="BN46" si="160">DY46</f>
        <v>0.33292349726775949</v>
      </c>
      <c r="BO46" s="752">
        <f t="shared" ref="BO46" si="161">DZ46</f>
        <v>0.50938678422188544</v>
      </c>
      <c r="BP46" s="505">
        <f t="shared" ref="BP46" si="162">EA46</f>
        <v>0.40496096799375486</v>
      </c>
      <c r="BQ46" s="31"/>
      <c r="BR46" s="222"/>
      <c r="BS46" s="222"/>
      <c r="BT46" s="31"/>
      <c r="BU46" s="226">
        <f>SUM(BU4:BU44)/5</f>
        <v>0.55421844447465118</v>
      </c>
      <c r="BV46" s="9">
        <f>SUM(BV4:BV44)/5</f>
        <v>0.40602168719061094</v>
      </c>
      <c r="BW46" s="332">
        <f>SUM(BW4:BW44)/5</f>
        <v>0.47151501672786572</v>
      </c>
      <c r="BX46" s="9">
        <f>SUM(BX4:BX44)/4</f>
        <v>0.27019435482550236</v>
      </c>
      <c r="BY46" s="227">
        <f>SUM(BY4:BY44)/5</f>
        <v>0.62107806118408404</v>
      </c>
      <c r="BZ46" s="355">
        <f t="shared" ref="BZ46:DI46" si="163">SUM(BZ4:BZ44)/5</f>
        <v>0.66741851927276019</v>
      </c>
      <c r="CA46" s="200">
        <f t="shared" si="163"/>
        <v>0.5802830854669403</v>
      </c>
      <c r="CB46" s="199">
        <f t="shared" si="163"/>
        <v>0.5744581483736183</v>
      </c>
      <c r="CC46" s="355">
        <f t="shared" si="163"/>
        <v>0.59400914038048747</v>
      </c>
      <c r="CD46" s="168">
        <f t="shared" si="163"/>
        <v>0.28762440290211788</v>
      </c>
      <c r="CE46" s="172">
        <f>SUM(CE4:CE44)/4</f>
        <v>0.39080536039552433</v>
      </c>
      <c r="CF46" s="227">
        <f t="shared" ref="CF46:CG46" si="164">SUM(CF4:CF44)/4</f>
        <v>0.43337073900598494</v>
      </c>
      <c r="CG46" s="172">
        <f t="shared" si="164"/>
        <v>0.35900213174803336</v>
      </c>
      <c r="CH46" s="168">
        <f t="shared" si="163"/>
        <v>0.2947720870244035</v>
      </c>
      <c r="CI46" s="355">
        <f t="shared" si="163"/>
        <v>0.65110772995346866</v>
      </c>
      <c r="CJ46" s="180">
        <f>SUM(CJ4:CJ44)/4</f>
        <v>0.44355776247801393</v>
      </c>
      <c r="CK46" s="227">
        <f t="shared" si="163"/>
        <v>0.60805058301166637</v>
      </c>
      <c r="CL46" s="180">
        <f>SUM(CL4:CL44)/4</f>
        <v>0.27714676034348168</v>
      </c>
      <c r="CM46" s="227">
        <f t="shared" si="163"/>
        <v>0.69781523341893981</v>
      </c>
      <c r="CN46" s="290">
        <f>SUM(CN4:CN44)/4</f>
        <v>0.37580015612802492</v>
      </c>
      <c r="CO46" s="355">
        <f t="shared" ref="CO46:CQ46" si="165">SUM(CO4:CO44)/4</f>
        <v>0.85178571428571426</v>
      </c>
      <c r="CP46" s="290">
        <f t="shared" si="165"/>
        <v>0.20194704657819412</v>
      </c>
      <c r="CQ46" s="290">
        <f t="shared" si="165"/>
        <v>0.32351385636221697</v>
      </c>
      <c r="CR46" s="227">
        <f t="shared" si="163"/>
        <v>0.33710837366540297</v>
      </c>
      <c r="CS46" s="279">
        <f>SUM(CS4:CS44)/4</f>
        <v>0.17422053756494116</v>
      </c>
      <c r="CT46" s="279">
        <f t="shared" si="163"/>
        <v>0.41788943759970126</v>
      </c>
      <c r="CU46" s="355">
        <f t="shared" si="163"/>
        <v>0.54788916731444071</v>
      </c>
      <c r="CV46" s="279">
        <f>SUM(CV4:CV44)/4</f>
        <v>0.39891815256764518</v>
      </c>
      <c r="CW46" s="355">
        <f t="shared" si="163"/>
        <v>0.45198570005943262</v>
      </c>
      <c r="CX46" s="304">
        <f>SUM(CX4:CX44)/4</f>
        <v>0.19568137737776015</v>
      </c>
      <c r="CY46" s="304">
        <f t="shared" si="163"/>
        <v>0.35945992422613948</v>
      </c>
      <c r="CZ46" s="227">
        <f t="shared" si="163"/>
        <v>0.42426331330821709</v>
      </c>
      <c r="DA46" s="355">
        <f t="shared" si="163"/>
        <v>0.46663717797247983</v>
      </c>
      <c r="DB46" s="314">
        <f>SUM(DB4:DB44)/4</f>
        <v>0.2275639268102283</v>
      </c>
      <c r="DC46" s="227">
        <f>SUM(DC4:DC44)/4</f>
        <v>0.46596409055425447</v>
      </c>
      <c r="DD46" s="314">
        <f>SUM(DD4:DD44)/4</f>
        <v>0.35303503418257515</v>
      </c>
      <c r="DE46" s="325">
        <f t="shared" si="163"/>
        <v>0.31388413490366446</v>
      </c>
      <c r="DF46" s="325">
        <f t="shared" si="163"/>
        <v>0.20680467026439944</v>
      </c>
      <c r="DG46" s="227">
        <f>SUM(DG4:DG44)/4</f>
        <v>0.38461651053864171</v>
      </c>
      <c r="DH46" s="325">
        <f t="shared" si="163"/>
        <v>0.34756151783592981</v>
      </c>
      <c r="DI46" s="355">
        <f t="shared" si="163"/>
        <v>0.44140372670807454</v>
      </c>
      <c r="DJ46" s="765">
        <f t="shared" ref="DJ46:DN46" si="166">SUM(DJ4:DJ44)/5</f>
        <v>0.36542444525750978</v>
      </c>
      <c r="DK46" s="810">
        <f>SUM(DK4:DK44)/4</f>
        <v>0.19329386861932665</v>
      </c>
      <c r="DL46" s="810">
        <f t="shared" si="166"/>
        <v>0.26276197264365475</v>
      </c>
      <c r="DM46" s="817">
        <f t="shared" si="166"/>
        <v>0.57241139826314458</v>
      </c>
      <c r="DN46" s="817">
        <f t="shared" si="166"/>
        <v>0.37953607915012044</v>
      </c>
      <c r="DO46" s="765">
        <f>SUM(DO4:DO44)/4</f>
        <v>0.33637628908336414</v>
      </c>
      <c r="DP46" s="811">
        <f>SUM(DP4:DP44)/4</f>
        <v>0.33578659947585593</v>
      </c>
      <c r="DQ46" s="811">
        <f>SUM(DQ4:DQ44)/4</f>
        <v>0.14038674212854541</v>
      </c>
      <c r="DR46" s="226">
        <f>SUM(DR4:DR44)/5</f>
        <v>0.45965789726700262</v>
      </c>
      <c r="DS46" s="843">
        <f t="shared" ref="DS46:EA46" si="167">SUM(DS4:DS44)/4</f>
        <v>0.21786494925839184</v>
      </c>
      <c r="DT46" s="579">
        <f t="shared" si="167"/>
        <v>0.38320160031225603</v>
      </c>
      <c r="DU46" s="849">
        <f t="shared" si="167"/>
        <v>0.44404602885477201</v>
      </c>
      <c r="DV46" s="765">
        <f>SUM(DV4:DV44)/5</f>
        <v>0.45043925777591731</v>
      </c>
      <c r="DW46" s="505">
        <f t="shared" si="167"/>
        <v>0.16219449948958145</v>
      </c>
      <c r="DX46" s="579">
        <f t="shared" si="167"/>
        <v>0.1274929742388759</v>
      </c>
      <c r="DY46" s="844">
        <f t="shared" si="167"/>
        <v>0.33292349726775949</v>
      </c>
      <c r="DZ46" s="226">
        <f>SUM(DZ4:DZ44)/5</f>
        <v>0.50938678422188544</v>
      </c>
      <c r="EA46" s="505">
        <f t="shared" si="167"/>
        <v>0.40496096799375486</v>
      </c>
      <c r="EB46" s="8"/>
    </row>
    <row r="47" spans="1:132" s="2" customFormat="1" ht="6" customHeight="1">
      <c r="D47" s="897"/>
      <c r="G47" s="897"/>
      <c r="J47" s="897"/>
      <c r="M47" s="897"/>
      <c r="BJ47" s="838"/>
      <c r="BR47" s="223"/>
      <c r="BS47" s="223"/>
      <c r="DU47" s="838"/>
    </row>
    <row r="48" spans="1:132">
      <c r="A48" s="1" t="s">
        <v>61</v>
      </c>
      <c r="B48" s="5">
        <v>1</v>
      </c>
      <c r="C48" s="5"/>
      <c r="D48" s="899"/>
      <c r="E48" s="5">
        <v>3</v>
      </c>
      <c r="F48" s="5"/>
      <c r="G48" s="899"/>
      <c r="H48" s="5">
        <v>2</v>
      </c>
      <c r="I48" s="5"/>
      <c r="J48" s="899"/>
      <c r="K48" s="5">
        <v>4</v>
      </c>
      <c r="L48" s="5"/>
      <c r="M48" s="899"/>
      <c r="N48" s="213">
        <v>2</v>
      </c>
      <c r="O48" s="213">
        <v>1</v>
      </c>
      <c r="P48" s="213">
        <v>3</v>
      </c>
      <c r="Q48" s="213">
        <v>4</v>
      </c>
      <c r="R48" s="244">
        <v>1</v>
      </c>
      <c r="S48" s="244">
        <v>6</v>
      </c>
      <c r="T48" s="244">
        <v>3</v>
      </c>
      <c r="U48" s="244">
        <v>2</v>
      </c>
      <c r="V48" s="244">
        <v>4</v>
      </c>
      <c r="W48" s="244">
        <v>5</v>
      </c>
      <c r="X48" s="193">
        <v>1</v>
      </c>
      <c r="Y48" s="193">
        <v>3</v>
      </c>
      <c r="Z48" s="193">
        <v>2</v>
      </c>
      <c r="AA48" s="193">
        <v>4</v>
      </c>
      <c r="AB48" s="291">
        <v>2</v>
      </c>
      <c r="AC48" s="291">
        <v>3</v>
      </c>
      <c r="AD48" s="291">
        <v>1</v>
      </c>
      <c r="AE48" s="291">
        <v>5</v>
      </c>
      <c r="AF48" s="291">
        <v>4</v>
      </c>
      <c r="AG48" s="280">
        <v>4</v>
      </c>
      <c r="AH48" s="280">
        <v>5</v>
      </c>
      <c r="AI48" s="280">
        <v>2</v>
      </c>
      <c r="AJ48" s="280">
        <v>1</v>
      </c>
      <c r="AK48" s="280">
        <v>3</v>
      </c>
      <c r="AL48" s="305">
        <v>1</v>
      </c>
      <c r="AM48" s="305">
        <v>4</v>
      </c>
      <c r="AN48" s="305">
        <v>3</v>
      </c>
      <c r="AO48" s="305">
        <v>2</v>
      </c>
      <c r="AP48" s="315">
        <v>1</v>
      </c>
      <c r="AQ48" s="315">
        <v>4</v>
      </c>
      <c r="AR48" s="315">
        <v>2</v>
      </c>
      <c r="AS48" s="315">
        <v>3</v>
      </c>
      <c r="AT48" s="326">
        <v>4</v>
      </c>
      <c r="AU48" s="326">
        <v>5</v>
      </c>
      <c r="AV48" s="326">
        <v>2</v>
      </c>
      <c r="AW48" s="326">
        <v>3</v>
      </c>
      <c r="AX48" s="326">
        <v>1</v>
      </c>
      <c r="AY48" s="780">
        <v>2</v>
      </c>
      <c r="AZ48" s="780">
        <v>4</v>
      </c>
      <c r="BA48" s="780">
        <v>3</v>
      </c>
      <c r="BB48" s="780">
        <v>1</v>
      </c>
      <c r="BC48" s="794">
        <v>1</v>
      </c>
      <c r="BD48" s="794">
        <v>2</v>
      </c>
      <c r="BE48" s="794">
        <v>3</v>
      </c>
      <c r="BF48" s="794">
        <v>4</v>
      </c>
      <c r="BG48" s="5">
        <v>1</v>
      </c>
      <c r="BH48" s="5">
        <v>4</v>
      </c>
      <c r="BI48" s="5">
        <v>2</v>
      </c>
      <c r="BJ48" s="839">
        <v>3</v>
      </c>
      <c r="BK48" s="821">
        <v>1</v>
      </c>
      <c r="BL48" s="821"/>
      <c r="BM48" s="821"/>
      <c r="BN48" s="821"/>
      <c r="BO48" s="821"/>
      <c r="BP48" s="821"/>
      <c r="BQ48" s="1"/>
      <c r="BT48" s="1"/>
      <c r="BY48" s="194"/>
      <c r="BZ48" s="194"/>
      <c r="CA48" s="194"/>
      <c r="CB48" s="194"/>
      <c r="CC48" s="170"/>
      <c r="CD48" s="170"/>
      <c r="CE48" s="170"/>
      <c r="CF48" s="170"/>
      <c r="CG48" s="170"/>
      <c r="CH48" s="170"/>
      <c r="CI48" s="174"/>
      <c r="CJ48" s="174"/>
      <c r="CK48" s="174"/>
      <c r="CL48" s="174"/>
      <c r="CM48" s="291"/>
      <c r="CN48" s="291"/>
      <c r="CO48" s="291"/>
      <c r="CP48" s="291"/>
      <c r="CQ48" s="291"/>
      <c r="CR48" s="280"/>
      <c r="CS48" s="280"/>
      <c r="CT48" s="280"/>
      <c r="CU48" s="280"/>
      <c r="CV48" s="280"/>
      <c r="CW48" s="305"/>
      <c r="CX48" s="305"/>
      <c r="CY48" s="305"/>
      <c r="CZ48" s="305"/>
      <c r="DA48" s="315"/>
      <c r="DB48" s="315"/>
      <c r="DC48" s="315"/>
      <c r="DD48" s="315"/>
      <c r="DE48" s="326"/>
      <c r="DF48" s="326"/>
      <c r="DG48" s="326"/>
      <c r="DH48" s="326"/>
      <c r="DI48" s="326"/>
      <c r="DJ48" s="780"/>
      <c r="DK48" s="780"/>
      <c r="DL48" s="780"/>
      <c r="DM48" s="780"/>
      <c r="DN48" s="794"/>
      <c r="DO48" s="794"/>
      <c r="DP48" s="794"/>
      <c r="DQ48" s="794"/>
      <c r="DU48" s="840"/>
    </row>
    <row r="49" spans="69:72">
      <c r="BQ49" s="1"/>
      <c r="BT49" s="1"/>
    </row>
  </sheetData>
  <pageMargins left="0.25" right="0.25" top="0.75" bottom="0.75" header="0.3" footer="0.3"/>
  <pageSetup paperSize="9" scale="29" orientation="landscape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E114"/>
  <sheetViews>
    <sheetView zoomScaleNormal="100" workbookViewId="0">
      <pane ySplit="2" topLeftCell="A3" activePane="bottomLeft" state="frozen"/>
      <selection activeCell="B1" sqref="B1:E1"/>
      <selection pane="bottomLeft" activeCell="B1" sqref="B1:E1"/>
    </sheetView>
  </sheetViews>
  <sheetFormatPr baseColWidth="10" defaultRowHeight="15.75" outlineLevelRow="1"/>
  <cols>
    <col min="1" max="1" width="15.140625" style="106" bestFit="1" customWidth="1"/>
    <col min="2" max="2" width="7.5703125" style="106" bestFit="1" customWidth="1"/>
    <col min="3" max="3" width="6.7109375" style="106" customWidth="1"/>
    <col min="4" max="4" width="7.28515625" style="106" bestFit="1" customWidth="1"/>
    <col min="5" max="5" width="7.42578125" style="106" bestFit="1" customWidth="1"/>
    <col min="6" max="6" width="6.140625" style="465" bestFit="1" customWidth="1"/>
    <col min="7" max="7" width="7.5703125" style="106" bestFit="1" customWidth="1"/>
    <col min="8" max="8" width="6.7109375" style="106" customWidth="1"/>
    <col min="9" max="9" width="7.28515625" style="106" bestFit="1" customWidth="1"/>
    <col min="10" max="10" width="7.42578125" style="106" bestFit="1" customWidth="1"/>
    <col min="11" max="11" width="6.140625" style="465" bestFit="1" customWidth="1"/>
    <col min="12" max="12" width="7.5703125" style="106" bestFit="1" customWidth="1"/>
    <col min="13" max="13" width="6.7109375" style="106" customWidth="1"/>
    <col min="14" max="14" width="7.28515625" style="106" bestFit="1" customWidth="1"/>
    <col min="15" max="15" width="7.42578125" style="106" bestFit="1" customWidth="1"/>
    <col min="16" max="16" width="6.140625" style="465" bestFit="1" customWidth="1"/>
    <col min="17" max="17" width="7.5703125" style="106" bestFit="1" customWidth="1"/>
    <col min="18" max="18" width="6.7109375" style="106" customWidth="1"/>
    <col min="19" max="19" width="7.28515625" style="106" bestFit="1" customWidth="1"/>
    <col min="20" max="20" width="7.42578125" style="106" bestFit="1" customWidth="1"/>
    <col min="21" max="21" width="6.140625" style="465" bestFit="1" customWidth="1"/>
    <col min="22" max="22" width="7.5703125" style="106" bestFit="1" customWidth="1"/>
    <col min="23" max="23" width="6.7109375" style="106" customWidth="1"/>
    <col min="24" max="24" width="7.28515625" style="106" bestFit="1" customWidth="1"/>
    <col min="25" max="25" width="7.42578125" style="106" bestFit="1" customWidth="1"/>
    <col min="26" max="26" width="6.140625" style="465" bestFit="1" customWidth="1"/>
    <col min="27" max="27" width="7.5703125" style="106" bestFit="1" customWidth="1"/>
    <col min="28" max="28" width="6.7109375" style="106" customWidth="1"/>
    <col min="29" max="29" width="7.28515625" style="106" bestFit="1" customWidth="1"/>
    <col min="30" max="30" width="7.42578125" style="106" bestFit="1" customWidth="1"/>
    <col min="31" max="31" width="6.140625" style="465" bestFit="1" customWidth="1"/>
    <col min="32" max="16384" width="11.42578125" style="106"/>
  </cols>
  <sheetData>
    <row r="1" spans="1:31">
      <c r="A1" s="487"/>
      <c r="B1" s="1551" t="s">
        <v>69</v>
      </c>
      <c r="C1" s="1551"/>
      <c r="D1" s="1551"/>
      <c r="E1" s="1551"/>
      <c r="G1" s="1551" t="s">
        <v>68</v>
      </c>
      <c r="H1" s="1551"/>
      <c r="I1" s="1551"/>
      <c r="J1" s="1551"/>
      <c r="L1" s="1552" t="s">
        <v>71</v>
      </c>
      <c r="M1" s="1552"/>
      <c r="N1" s="1552"/>
      <c r="O1" s="1552"/>
      <c r="Q1" s="1552" t="s">
        <v>70</v>
      </c>
      <c r="R1" s="1552"/>
      <c r="S1" s="1552"/>
      <c r="T1" s="1552"/>
      <c r="V1" s="1553" t="s">
        <v>73</v>
      </c>
      <c r="W1" s="1553"/>
      <c r="X1" s="1553"/>
      <c r="Y1" s="1553"/>
      <c r="AA1" s="1553" t="s">
        <v>72</v>
      </c>
      <c r="AB1" s="1553"/>
      <c r="AC1" s="1553"/>
      <c r="AD1" s="1553"/>
    </row>
    <row r="2" spans="1:31" s="517" customFormat="1" ht="14.25" collapsed="1">
      <c r="A2" s="522"/>
      <c r="B2" s="540" t="s">
        <v>0</v>
      </c>
      <c r="C2" s="532" t="s">
        <v>56</v>
      </c>
      <c r="D2" s="600" t="s">
        <v>1</v>
      </c>
      <c r="E2" s="531" t="s">
        <v>53</v>
      </c>
      <c r="F2" s="1527"/>
      <c r="G2" s="540" t="s">
        <v>53</v>
      </c>
      <c r="H2" s="532" t="s">
        <v>0</v>
      </c>
      <c r="I2" s="600" t="s">
        <v>56</v>
      </c>
      <c r="J2" s="531" t="s">
        <v>1</v>
      </c>
      <c r="K2" s="1527"/>
      <c r="L2" s="540" t="s">
        <v>0</v>
      </c>
      <c r="M2" s="532" t="s">
        <v>56</v>
      </c>
      <c r="N2" s="600" t="s">
        <v>1</v>
      </c>
      <c r="O2" s="531" t="s">
        <v>53</v>
      </c>
      <c r="P2" s="1527"/>
      <c r="Q2" s="540" t="s">
        <v>53</v>
      </c>
      <c r="R2" s="532" t="s">
        <v>0</v>
      </c>
      <c r="S2" s="600" t="s">
        <v>56</v>
      </c>
      <c r="T2" s="531" t="s">
        <v>1</v>
      </c>
      <c r="U2" s="1527"/>
      <c r="V2" s="540" t="s">
        <v>0</v>
      </c>
      <c r="W2" s="532" t="s">
        <v>56</v>
      </c>
      <c r="X2" s="600" t="s">
        <v>1</v>
      </c>
      <c r="Y2" s="531" t="s">
        <v>53</v>
      </c>
      <c r="Z2" s="1527"/>
      <c r="AA2" s="540" t="s">
        <v>53</v>
      </c>
      <c r="AB2" s="532" t="s">
        <v>0</v>
      </c>
      <c r="AC2" s="600" t="s">
        <v>56</v>
      </c>
      <c r="AD2" s="531" t="s">
        <v>1</v>
      </c>
      <c r="AE2" s="1527"/>
    </row>
    <row r="3" spans="1:31" hidden="1" outlineLevel="1">
      <c r="A3" s="581">
        <v>12</v>
      </c>
      <c r="B3" s="108">
        <v>12</v>
      </c>
      <c r="C3" s="117"/>
      <c r="D3" s="117"/>
      <c r="E3" s="107"/>
      <c r="F3" s="112">
        <v>3</v>
      </c>
      <c r="G3" s="108">
        <v>3</v>
      </c>
      <c r="H3" s="117"/>
      <c r="I3" s="117"/>
      <c r="J3" s="107"/>
      <c r="K3" s="106">
        <v>41</v>
      </c>
      <c r="L3" s="108">
        <v>2</v>
      </c>
      <c r="M3" s="117"/>
      <c r="N3" s="117"/>
      <c r="O3" s="107"/>
      <c r="P3" s="106">
        <v>23</v>
      </c>
      <c r="Q3" s="108">
        <v>5</v>
      </c>
      <c r="R3" s="117"/>
      <c r="S3" s="117"/>
      <c r="T3" s="107"/>
      <c r="U3" s="106"/>
      <c r="V3" s="466"/>
      <c r="W3" s="466"/>
      <c r="X3" s="466"/>
      <c r="Y3" s="466"/>
      <c r="Z3" s="466"/>
      <c r="AA3" s="466"/>
      <c r="AB3" s="466"/>
      <c r="AC3" s="466"/>
      <c r="AD3" s="466"/>
      <c r="AE3" s="466"/>
    </row>
    <row r="4" spans="1:31" hidden="1" outlineLevel="1">
      <c r="A4" s="581">
        <v>24</v>
      </c>
      <c r="B4" s="117"/>
      <c r="C4" s="108">
        <v>12</v>
      </c>
      <c r="D4" s="117"/>
      <c r="E4" s="117"/>
      <c r="F4" s="112">
        <v>3</v>
      </c>
      <c r="G4" s="117"/>
      <c r="H4" s="108" t="s">
        <v>2</v>
      </c>
      <c r="I4" s="117"/>
      <c r="J4" s="117"/>
      <c r="K4" s="581">
        <v>43</v>
      </c>
      <c r="L4" s="117"/>
      <c r="M4" s="117">
        <v>2</v>
      </c>
      <c r="N4" s="117"/>
      <c r="O4" s="117"/>
      <c r="P4" s="112">
        <v>31</v>
      </c>
      <c r="Q4" s="108"/>
      <c r="R4" s="117">
        <v>8</v>
      </c>
      <c r="S4" s="117"/>
      <c r="T4" s="107"/>
      <c r="U4" s="106"/>
      <c r="V4" s="466"/>
      <c r="W4" s="466"/>
      <c r="X4" s="466"/>
      <c r="Y4" s="466"/>
      <c r="Z4" s="466"/>
      <c r="AA4" s="466"/>
      <c r="AB4" s="466"/>
      <c r="AC4" s="466"/>
      <c r="AD4" s="466"/>
      <c r="AE4" s="466"/>
    </row>
    <row r="5" spans="1:31" hidden="1" outlineLevel="1">
      <c r="A5" s="581">
        <v>36</v>
      </c>
      <c r="B5" s="108"/>
      <c r="C5" s="117"/>
      <c r="D5" s="117">
        <v>12</v>
      </c>
      <c r="E5" s="107"/>
      <c r="F5" s="112">
        <v>9</v>
      </c>
      <c r="G5" s="108"/>
      <c r="H5" s="117"/>
      <c r="I5" s="117">
        <v>6</v>
      </c>
      <c r="J5" s="107"/>
      <c r="K5" s="581">
        <v>50</v>
      </c>
      <c r="L5" s="108"/>
      <c r="M5" s="117"/>
      <c r="N5" s="117">
        <v>7</v>
      </c>
      <c r="O5" s="107"/>
      <c r="P5" s="112">
        <v>31</v>
      </c>
      <c r="Q5" s="108"/>
      <c r="R5" s="117"/>
      <c r="S5" s="117" t="s">
        <v>2</v>
      </c>
      <c r="T5" s="107"/>
      <c r="U5" s="106"/>
      <c r="V5" s="466"/>
      <c r="W5" s="466"/>
      <c r="X5" s="466"/>
      <c r="Y5" s="466"/>
      <c r="Z5" s="466"/>
      <c r="AA5" s="466"/>
      <c r="AB5" s="466"/>
      <c r="AC5" s="466"/>
      <c r="AD5" s="466"/>
      <c r="AE5" s="466"/>
    </row>
    <row r="6" spans="1:31" hidden="1" outlineLevel="1">
      <c r="A6" s="581">
        <v>39</v>
      </c>
      <c r="B6" s="117"/>
      <c r="C6" s="108"/>
      <c r="D6" s="117"/>
      <c r="E6" s="117">
        <v>3</v>
      </c>
      <c r="F6" s="112">
        <v>18</v>
      </c>
      <c r="G6" s="117"/>
      <c r="H6" s="108"/>
      <c r="I6" s="117"/>
      <c r="J6" s="117">
        <v>9</v>
      </c>
      <c r="K6" s="3"/>
      <c r="L6" s="502"/>
      <c r="M6" s="502"/>
      <c r="N6" s="502"/>
      <c r="O6" s="502"/>
      <c r="P6" s="112">
        <v>36</v>
      </c>
      <c r="Q6" s="108"/>
      <c r="R6" s="117"/>
      <c r="S6" s="117"/>
      <c r="T6" s="107">
        <v>5</v>
      </c>
      <c r="U6" s="106"/>
      <c r="V6" s="466"/>
      <c r="W6" s="466"/>
      <c r="X6" s="466"/>
      <c r="Y6" s="466"/>
      <c r="Z6" s="466"/>
      <c r="AA6" s="466"/>
      <c r="AB6" s="466"/>
      <c r="AC6" s="466"/>
      <c r="AD6" s="466"/>
      <c r="AE6" s="466"/>
    </row>
    <row r="7" spans="1:31" ht="5.0999999999999996" hidden="1" customHeight="1" outlineLevel="1">
      <c r="F7" s="106"/>
      <c r="K7" s="106"/>
      <c r="P7" s="106"/>
      <c r="U7" s="106"/>
      <c r="Z7" s="106"/>
    </row>
    <row r="8" spans="1:31" hidden="1" outlineLevel="1">
      <c r="A8" s="581">
        <v>12</v>
      </c>
      <c r="B8" s="108">
        <v>12</v>
      </c>
      <c r="C8" s="117"/>
      <c r="D8" s="117"/>
      <c r="E8" s="107"/>
      <c r="F8" s="581">
        <v>4</v>
      </c>
      <c r="G8" s="108">
        <v>4</v>
      </c>
      <c r="H8" s="117"/>
      <c r="I8" s="117"/>
      <c r="J8" s="107"/>
      <c r="K8" s="106">
        <v>31</v>
      </c>
      <c r="L8" s="108">
        <v>6</v>
      </c>
      <c r="M8" s="117"/>
      <c r="N8" s="117"/>
      <c r="O8" s="107"/>
      <c r="P8" s="106">
        <v>22</v>
      </c>
      <c r="Q8" s="108" t="s">
        <v>2</v>
      </c>
      <c r="R8" s="117"/>
      <c r="S8" s="117"/>
      <c r="T8" s="107"/>
      <c r="U8" s="106">
        <v>47</v>
      </c>
      <c r="V8" s="108">
        <v>2</v>
      </c>
      <c r="W8" s="117"/>
      <c r="X8" s="117"/>
      <c r="Y8" s="107"/>
      <c r="Z8" s="106">
        <v>41</v>
      </c>
      <c r="AA8" s="108">
        <v>7</v>
      </c>
      <c r="AB8" s="117"/>
      <c r="AC8" s="117"/>
      <c r="AD8" s="107"/>
    </row>
    <row r="9" spans="1:31" hidden="1" outlineLevel="1">
      <c r="A9" s="581">
        <v>12</v>
      </c>
      <c r="B9" s="117"/>
      <c r="C9" s="108" t="s">
        <v>2</v>
      </c>
      <c r="D9" s="117"/>
      <c r="E9" s="117"/>
      <c r="F9" s="581">
        <v>11</v>
      </c>
      <c r="G9" s="117"/>
      <c r="H9" s="108">
        <v>7</v>
      </c>
      <c r="I9" s="117"/>
      <c r="J9" s="117"/>
      <c r="K9" s="581">
        <v>37</v>
      </c>
      <c r="L9" s="117"/>
      <c r="M9" s="117">
        <v>6</v>
      </c>
      <c r="N9" s="117"/>
      <c r="O9" s="117"/>
      <c r="P9" s="112">
        <v>30</v>
      </c>
      <c r="Q9" s="117"/>
      <c r="R9" s="108">
        <v>8</v>
      </c>
      <c r="S9" s="117"/>
      <c r="T9" s="117"/>
      <c r="U9" s="581">
        <v>50</v>
      </c>
      <c r="V9" s="117"/>
      <c r="W9" s="117">
        <v>3</v>
      </c>
      <c r="X9" s="117"/>
      <c r="Y9" s="117"/>
      <c r="Z9" s="581">
        <v>44</v>
      </c>
      <c r="AA9" s="117"/>
      <c r="AB9" s="108">
        <v>3</v>
      </c>
      <c r="AC9" s="117"/>
      <c r="AD9" s="117"/>
    </row>
    <row r="10" spans="1:31" hidden="1" outlineLevel="1">
      <c r="A10" s="581">
        <v>16</v>
      </c>
      <c r="B10" s="108"/>
      <c r="C10" s="117"/>
      <c r="D10" s="117">
        <v>4</v>
      </c>
      <c r="E10" s="107"/>
      <c r="F10" s="581">
        <v>14</v>
      </c>
      <c r="G10" s="108"/>
      <c r="H10" s="117"/>
      <c r="I10" s="117">
        <v>3</v>
      </c>
      <c r="J10" s="107"/>
      <c r="K10" s="581">
        <v>40</v>
      </c>
      <c r="L10" s="108"/>
      <c r="M10" s="117"/>
      <c r="N10" s="117">
        <v>3</v>
      </c>
      <c r="O10" s="107"/>
      <c r="P10" s="112">
        <v>30</v>
      </c>
      <c r="Q10" s="108"/>
      <c r="R10" s="117"/>
      <c r="S10" s="117" t="s">
        <v>2</v>
      </c>
      <c r="T10" s="107"/>
      <c r="U10" s="106"/>
      <c r="V10" s="581"/>
      <c r="W10" s="581"/>
      <c r="X10" s="581"/>
      <c r="Y10" s="581"/>
      <c r="Z10" s="581">
        <v>25</v>
      </c>
      <c r="AA10" s="108"/>
      <c r="AB10" s="117"/>
      <c r="AC10" s="142">
        <v>-19</v>
      </c>
      <c r="AD10" s="107"/>
    </row>
    <row r="11" spans="1:31" hidden="1" outlineLevel="1">
      <c r="A11" s="581">
        <v>25</v>
      </c>
      <c r="B11" s="117"/>
      <c r="C11" s="108"/>
      <c r="D11" s="117"/>
      <c r="E11" s="117">
        <v>9</v>
      </c>
      <c r="F11" s="581">
        <v>22</v>
      </c>
      <c r="G11" s="117"/>
      <c r="H11" s="108"/>
      <c r="I11" s="117"/>
      <c r="J11" s="117">
        <v>8</v>
      </c>
      <c r="K11" s="106">
        <v>45</v>
      </c>
      <c r="L11" s="117"/>
      <c r="M11" s="108"/>
      <c r="N11" s="117"/>
      <c r="O11" s="117">
        <v>5</v>
      </c>
      <c r="P11" s="106">
        <v>34</v>
      </c>
      <c r="Q11" s="117"/>
      <c r="R11" s="108"/>
      <c r="S11" s="117"/>
      <c r="T11" s="117">
        <v>4</v>
      </c>
      <c r="U11" s="106"/>
      <c r="Z11" s="106">
        <v>27</v>
      </c>
      <c r="AA11" s="117"/>
      <c r="AB11" s="108"/>
      <c r="AC11" s="117"/>
      <c r="AD11" s="117">
        <v>2</v>
      </c>
    </row>
    <row r="12" spans="1:31" hidden="1" outlineLevel="1">
      <c r="A12" s="581"/>
      <c r="B12" s="434"/>
      <c r="C12" s="113"/>
      <c r="D12" s="434"/>
      <c r="E12" s="434"/>
      <c r="G12" s="434"/>
      <c r="H12" s="113"/>
      <c r="I12" s="434"/>
      <c r="J12" s="434"/>
      <c r="K12" s="106"/>
      <c r="L12" s="434"/>
      <c r="M12" s="113"/>
      <c r="N12" s="434"/>
      <c r="O12" s="434"/>
      <c r="P12" s="106"/>
      <c r="Q12" s="434"/>
      <c r="R12" s="113"/>
      <c r="S12" s="434"/>
      <c r="T12" s="434"/>
      <c r="U12" s="106"/>
      <c r="Z12" s="106">
        <v>27</v>
      </c>
      <c r="AA12" s="117" t="s">
        <v>2</v>
      </c>
      <c r="AB12" s="108"/>
      <c r="AC12" s="117"/>
      <c r="AD12" s="117"/>
    </row>
    <row r="13" spans="1:31" hidden="1" outlineLevel="1">
      <c r="A13" s="581"/>
      <c r="B13" s="434"/>
      <c r="C13" s="113"/>
      <c r="D13" s="434"/>
      <c r="E13" s="434"/>
      <c r="G13" s="434"/>
      <c r="H13" s="113"/>
      <c r="I13" s="434"/>
      <c r="J13" s="434"/>
      <c r="K13" s="106"/>
      <c r="L13" s="434"/>
      <c r="M13" s="113"/>
      <c r="N13" s="434"/>
      <c r="O13" s="434"/>
      <c r="P13" s="106"/>
      <c r="Q13" s="434"/>
      <c r="R13" s="113"/>
      <c r="S13" s="434"/>
      <c r="T13" s="434"/>
      <c r="U13" s="106"/>
      <c r="Z13" s="106">
        <v>37</v>
      </c>
      <c r="AA13" s="117"/>
      <c r="AB13" s="108">
        <v>10</v>
      </c>
      <c r="AC13" s="117"/>
      <c r="AD13" s="117"/>
    </row>
    <row r="14" spans="1:31" hidden="1" outlineLevel="1">
      <c r="A14" s="581"/>
      <c r="B14" s="434"/>
      <c r="C14" s="113"/>
      <c r="D14" s="434"/>
      <c r="E14" s="434"/>
      <c r="G14" s="434"/>
      <c r="H14" s="113"/>
      <c r="I14" s="434"/>
      <c r="J14" s="434"/>
      <c r="K14" s="106"/>
      <c r="L14" s="434"/>
      <c r="M14" s="113"/>
      <c r="N14" s="434"/>
      <c r="O14" s="434"/>
      <c r="P14" s="106"/>
      <c r="Q14" s="434"/>
      <c r="R14" s="113"/>
      <c r="S14" s="434"/>
      <c r="T14" s="434"/>
      <c r="U14" s="106"/>
      <c r="Z14" s="106">
        <v>39</v>
      </c>
      <c r="AA14" s="117"/>
      <c r="AB14" s="108"/>
      <c r="AC14" s="117">
        <v>2</v>
      </c>
      <c r="AD14" s="117"/>
    </row>
    <row r="15" spans="1:31" hidden="1" outlineLevel="1">
      <c r="A15" s="581"/>
      <c r="B15" s="434"/>
      <c r="C15" s="113"/>
      <c r="D15" s="434"/>
      <c r="E15" s="434"/>
      <c r="G15" s="434"/>
      <c r="H15" s="113"/>
      <c r="I15" s="434"/>
      <c r="J15" s="434"/>
      <c r="K15" s="106"/>
      <c r="L15" s="434"/>
      <c r="M15" s="113"/>
      <c r="N15" s="434"/>
      <c r="O15" s="434"/>
      <c r="P15" s="106"/>
      <c r="Q15" s="434"/>
      <c r="R15" s="113"/>
      <c r="S15" s="434"/>
      <c r="T15" s="434"/>
      <c r="U15" s="106"/>
      <c r="Z15" s="106">
        <v>41</v>
      </c>
      <c r="AA15" s="117"/>
      <c r="AB15" s="108"/>
      <c r="AC15" s="117"/>
      <c r="AD15" s="117">
        <v>2</v>
      </c>
    </row>
    <row r="16" spans="1:31" hidden="1" outlineLevel="1">
      <c r="A16" s="581"/>
      <c r="B16" s="434"/>
      <c r="C16" s="113"/>
      <c r="D16" s="434"/>
      <c r="E16" s="434"/>
      <c r="G16" s="434"/>
      <c r="H16" s="113"/>
      <c r="I16" s="434"/>
      <c r="J16" s="434"/>
      <c r="K16" s="106"/>
      <c r="L16" s="434"/>
      <c r="M16" s="113"/>
      <c r="N16" s="434"/>
      <c r="O16" s="434"/>
      <c r="P16" s="106"/>
      <c r="Q16" s="434"/>
      <c r="R16" s="113"/>
      <c r="S16" s="434"/>
      <c r="T16" s="434"/>
      <c r="U16" s="106"/>
      <c r="Z16" s="106">
        <v>50</v>
      </c>
      <c r="AA16" s="117">
        <v>9</v>
      </c>
      <c r="AB16" s="108"/>
      <c r="AC16" s="117"/>
      <c r="AD16" s="117"/>
    </row>
    <row r="17" spans="1:31" s="1528" customFormat="1" ht="5.0999999999999996" hidden="1" customHeight="1" outlineLevel="1">
      <c r="AE17" s="1529"/>
    </row>
    <row r="18" spans="1:31" hidden="1" outlineLevel="1">
      <c r="A18" s="581">
        <v>11</v>
      </c>
      <c r="B18" s="108">
        <v>11</v>
      </c>
      <c r="C18" s="117"/>
      <c r="D18" s="117"/>
      <c r="E18" s="107"/>
      <c r="F18" s="106">
        <v>8</v>
      </c>
      <c r="G18" s="108">
        <v>8</v>
      </c>
      <c r="H18" s="117"/>
      <c r="I18" s="117"/>
      <c r="J18" s="107"/>
      <c r="K18" s="106">
        <v>35</v>
      </c>
      <c r="L18" s="108">
        <v>10</v>
      </c>
      <c r="M18" s="117"/>
      <c r="N18" s="117"/>
      <c r="O18" s="107"/>
      <c r="P18" s="106">
        <v>24</v>
      </c>
      <c r="Q18" s="108">
        <v>3</v>
      </c>
      <c r="R18" s="117"/>
      <c r="S18" s="117"/>
      <c r="T18" s="107"/>
      <c r="U18" s="106"/>
      <c r="Z18" s="106"/>
    </row>
    <row r="19" spans="1:31" hidden="1" outlineLevel="1">
      <c r="A19" s="581">
        <v>13</v>
      </c>
      <c r="B19" s="117"/>
      <c r="C19" s="108">
        <v>2</v>
      </c>
      <c r="D19" s="117"/>
      <c r="E19" s="117"/>
      <c r="F19" s="106">
        <v>16</v>
      </c>
      <c r="G19" s="117"/>
      <c r="H19" s="108">
        <v>8</v>
      </c>
      <c r="I19" s="117"/>
      <c r="J19" s="117"/>
      <c r="K19" s="106">
        <v>35</v>
      </c>
      <c r="L19" s="117"/>
      <c r="M19" s="108" t="s">
        <v>2</v>
      </c>
      <c r="N19" s="117"/>
      <c r="O19" s="117"/>
      <c r="P19" s="106">
        <v>33</v>
      </c>
      <c r="Q19" s="117"/>
      <c r="R19" s="108">
        <v>9</v>
      </c>
      <c r="S19" s="117"/>
      <c r="T19" s="117"/>
      <c r="U19" s="106"/>
      <c r="Z19" s="106"/>
    </row>
    <row r="20" spans="1:31" hidden="1" outlineLevel="1">
      <c r="A20" s="581">
        <v>17</v>
      </c>
      <c r="B20" s="108"/>
      <c r="C20" s="117"/>
      <c r="D20" s="117">
        <v>4</v>
      </c>
      <c r="E20" s="107"/>
      <c r="F20" s="106">
        <v>21</v>
      </c>
      <c r="G20" s="108"/>
      <c r="H20" s="117"/>
      <c r="I20" s="117">
        <v>5</v>
      </c>
      <c r="J20" s="107"/>
      <c r="K20" s="106">
        <v>35</v>
      </c>
      <c r="L20" s="108"/>
      <c r="M20" s="117"/>
      <c r="N20" s="117" t="s">
        <v>2</v>
      </c>
      <c r="O20" s="107"/>
      <c r="P20" s="106"/>
      <c r="U20" s="106"/>
      <c r="Z20" s="106"/>
    </row>
    <row r="21" spans="1:31" hidden="1" outlineLevel="1">
      <c r="A21" s="581">
        <v>25</v>
      </c>
      <c r="B21" s="117"/>
      <c r="C21" s="108"/>
      <c r="D21" s="117"/>
      <c r="E21" s="117">
        <v>8</v>
      </c>
      <c r="F21" s="106">
        <v>21</v>
      </c>
      <c r="G21" s="117"/>
      <c r="H21" s="108"/>
      <c r="I21" s="117"/>
      <c r="J21" s="117" t="s">
        <v>2</v>
      </c>
      <c r="K21" s="106">
        <v>38</v>
      </c>
      <c r="L21" s="117"/>
      <c r="M21" s="108"/>
      <c r="N21" s="117"/>
      <c r="O21" s="117">
        <v>3</v>
      </c>
      <c r="P21" s="106"/>
      <c r="U21" s="106"/>
      <c r="Z21" s="106"/>
    </row>
    <row r="22" spans="1:31" ht="5.0999999999999996" hidden="1" customHeight="1" outlineLevel="1">
      <c r="F22" s="106"/>
      <c r="K22" s="106"/>
      <c r="P22" s="106"/>
      <c r="U22" s="106"/>
      <c r="Z22" s="106"/>
    </row>
    <row r="23" spans="1:31" hidden="1" outlineLevel="1">
      <c r="A23" s="581">
        <v>9</v>
      </c>
      <c r="B23" s="108">
        <v>9</v>
      </c>
      <c r="C23" s="117"/>
      <c r="D23" s="117"/>
      <c r="E23" s="107"/>
      <c r="F23" s="106">
        <v>5</v>
      </c>
      <c r="G23" s="108">
        <v>5</v>
      </c>
      <c r="H23" s="117"/>
      <c r="I23" s="117"/>
      <c r="J23" s="107"/>
      <c r="K23" s="112">
        <v>25</v>
      </c>
      <c r="L23" s="108">
        <v>2</v>
      </c>
      <c r="M23" s="117"/>
      <c r="N23" s="117"/>
      <c r="O23" s="107"/>
      <c r="P23" s="106">
        <v>22</v>
      </c>
      <c r="Q23" s="108">
        <v>2</v>
      </c>
      <c r="R23" s="117"/>
      <c r="S23" s="117"/>
      <c r="T23" s="107"/>
      <c r="U23" s="581">
        <v>41</v>
      </c>
      <c r="V23" s="108">
        <v>4</v>
      </c>
      <c r="W23" s="117"/>
      <c r="X23" s="117"/>
      <c r="Y23" s="107"/>
      <c r="Z23" s="106">
        <v>39</v>
      </c>
      <c r="AA23" s="108">
        <v>8</v>
      </c>
      <c r="AB23" s="117"/>
      <c r="AC23" s="117"/>
      <c r="AD23" s="107"/>
    </row>
    <row r="24" spans="1:31" hidden="1" outlineLevel="1">
      <c r="A24" s="581">
        <v>17</v>
      </c>
      <c r="B24" s="117"/>
      <c r="C24" s="108">
        <v>8</v>
      </c>
      <c r="D24" s="117"/>
      <c r="E24" s="117"/>
      <c r="F24" s="106">
        <v>5</v>
      </c>
      <c r="G24" s="117"/>
      <c r="H24" s="108" t="s">
        <v>2</v>
      </c>
      <c r="I24" s="117"/>
      <c r="J24" s="117"/>
      <c r="K24" s="106">
        <v>27</v>
      </c>
      <c r="L24" s="117"/>
      <c r="M24" s="108">
        <v>2</v>
      </c>
      <c r="N24" s="117"/>
      <c r="O24" s="117"/>
      <c r="P24" s="106">
        <v>22</v>
      </c>
      <c r="Q24" s="117"/>
      <c r="R24" s="108" t="s">
        <v>2</v>
      </c>
      <c r="S24" s="117"/>
      <c r="T24" s="117"/>
      <c r="U24" s="106">
        <v>44</v>
      </c>
      <c r="V24" s="117"/>
      <c r="W24" s="108">
        <v>3</v>
      </c>
      <c r="X24" s="117"/>
      <c r="Y24" s="117"/>
      <c r="Z24" s="106">
        <v>41</v>
      </c>
      <c r="AA24" s="117"/>
      <c r="AB24" s="108">
        <v>2</v>
      </c>
      <c r="AC24" s="117"/>
      <c r="AD24" s="117"/>
    </row>
    <row r="25" spans="1:31" hidden="1" outlineLevel="1">
      <c r="A25" s="581">
        <v>23</v>
      </c>
      <c r="B25" s="108"/>
      <c r="C25" s="117"/>
      <c r="D25" s="117">
        <v>6</v>
      </c>
      <c r="E25" s="107"/>
      <c r="F25" s="106">
        <v>9</v>
      </c>
      <c r="G25" s="108"/>
      <c r="H25" s="117"/>
      <c r="I25" s="117">
        <v>4</v>
      </c>
      <c r="J25" s="107"/>
      <c r="K25" s="106">
        <v>29</v>
      </c>
      <c r="L25" s="108"/>
      <c r="M25" s="117"/>
      <c r="N25" s="117">
        <v>2</v>
      </c>
      <c r="O25" s="107"/>
      <c r="P25" s="106">
        <v>28</v>
      </c>
      <c r="Q25" s="108"/>
      <c r="R25" s="117"/>
      <c r="S25" s="117">
        <v>6</v>
      </c>
      <c r="T25" s="107"/>
      <c r="U25" s="106">
        <v>44</v>
      </c>
      <c r="V25" s="108"/>
      <c r="W25" s="117"/>
      <c r="X25" s="117" t="s">
        <v>2</v>
      </c>
      <c r="Y25" s="107"/>
      <c r="Z25" s="106"/>
    </row>
    <row r="26" spans="1:31" hidden="1" outlineLevel="1">
      <c r="A26" s="581">
        <v>23</v>
      </c>
      <c r="B26" s="117"/>
      <c r="C26" s="108"/>
      <c r="D26" s="117"/>
      <c r="E26" s="117" t="s">
        <v>2</v>
      </c>
      <c r="F26" s="106">
        <v>20</v>
      </c>
      <c r="G26" s="117"/>
      <c r="H26" s="108"/>
      <c r="I26" s="117"/>
      <c r="J26" s="117">
        <v>11</v>
      </c>
      <c r="K26" s="106">
        <v>37</v>
      </c>
      <c r="L26" s="117"/>
      <c r="M26" s="108"/>
      <c r="N26" s="117"/>
      <c r="O26" s="117">
        <v>8</v>
      </c>
      <c r="P26" s="106">
        <v>31</v>
      </c>
      <c r="Q26" s="117"/>
      <c r="R26" s="108"/>
      <c r="S26" s="117"/>
      <c r="T26" s="117">
        <v>3</v>
      </c>
      <c r="U26" s="106">
        <v>50</v>
      </c>
      <c r="V26" s="117"/>
      <c r="W26" s="108"/>
      <c r="X26" s="117"/>
      <c r="Y26" s="117">
        <v>6</v>
      </c>
      <c r="Z26" s="106"/>
    </row>
    <row r="27" spans="1:31" s="1528" customFormat="1" ht="5.0999999999999996" hidden="1" customHeight="1" outlineLevel="1">
      <c r="AE27" s="1529"/>
    </row>
    <row r="28" spans="1:31" ht="15" hidden="1" outlineLevel="1">
      <c r="A28" s="581">
        <v>10</v>
      </c>
      <c r="B28" s="108">
        <v>10</v>
      </c>
      <c r="C28" s="117"/>
      <c r="D28" s="117"/>
      <c r="E28" s="107"/>
      <c r="F28" s="106">
        <v>8</v>
      </c>
      <c r="G28" s="108">
        <v>8</v>
      </c>
      <c r="H28" s="117"/>
      <c r="I28" s="117"/>
      <c r="J28" s="107"/>
      <c r="K28" s="581">
        <v>34</v>
      </c>
      <c r="L28" s="108">
        <v>3</v>
      </c>
      <c r="M28" s="117"/>
      <c r="N28" s="117"/>
      <c r="O28" s="107"/>
      <c r="P28" s="106">
        <v>27</v>
      </c>
      <c r="Q28" s="108">
        <v>7</v>
      </c>
      <c r="R28" s="117"/>
      <c r="S28" s="117"/>
      <c r="T28" s="107"/>
      <c r="U28" s="112"/>
      <c r="V28" s="581"/>
      <c r="W28" s="581"/>
      <c r="X28" s="581"/>
      <c r="Y28" s="581"/>
      <c r="Z28" s="106">
        <v>29</v>
      </c>
      <c r="AA28" s="108" t="s">
        <v>2</v>
      </c>
      <c r="AB28" s="117"/>
      <c r="AC28" s="117"/>
      <c r="AD28" s="107"/>
      <c r="AE28" s="106"/>
    </row>
    <row r="29" spans="1:31" ht="15" hidden="1" outlineLevel="1">
      <c r="A29" s="581">
        <v>10</v>
      </c>
      <c r="B29" s="117"/>
      <c r="C29" s="108" t="s">
        <v>2</v>
      </c>
      <c r="D29" s="117"/>
      <c r="E29" s="117"/>
      <c r="F29" s="106">
        <v>16</v>
      </c>
      <c r="G29" s="117"/>
      <c r="H29" s="108">
        <v>8</v>
      </c>
      <c r="I29" s="117"/>
      <c r="J29" s="117"/>
      <c r="K29" s="106">
        <v>46</v>
      </c>
      <c r="L29" s="117"/>
      <c r="M29" s="108">
        <v>12</v>
      </c>
      <c r="N29" s="117"/>
      <c r="O29" s="117"/>
      <c r="P29" s="106">
        <v>27</v>
      </c>
      <c r="Q29" s="117"/>
      <c r="R29" s="108" t="s">
        <v>2</v>
      </c>
      <c r="S29" s="117"/>
      <c r="T29" s="117"/>
      <c r="U29" s="112"/>
      <c r="V29" s="581"/>
      <c r="W29" s="581"/>
      <c r="X29" s="581"/>
      <c r="Y29" s="581"/>
      <c r="Z29" s="106">
        <v>32</v>
      </c>
      <c r="AA29" s="117"/>
      <c r="AB29" s="108">
        <v>3</v>
      </c>
      <c r="AC29" s="117"/>
      <c r="AD29" s="117"/>
      <c r="AE29" s="106"/>
    </row>
    <row r="30" spans="1:31" hidden="1" outlineLevel="1">
      <c r="A30" s="581">
        <v>22</v>
      </c>
      <c r="B30" s="108"/>
      <c r="C30" s="117"/>
      <c r="D30" s="117">
        <v>12</v>
      </c>
      <c r="E30" s="107"/>
      <c r="F30" s="106">
        <v>20</v>
      </c>
      <c r="G30" s="108"/>
      <c r="H30" s="117"/>
      <c r="I30" s="117">
        <v>4</v>
      </c>
      <c r="J30" s="107"/>
      <c r="K30" s="106">
        <v>48</v>
      </c>
      <c r="L30" s="108"/>
      <c r="M30" s="117"/>
      <c r="N30" s="117">
        <v>2</v>
      </c>
      <c r="O30" s="107"/>
      <c r="P30" s="106">
        <v>27</v>
      </c>
      <c r="Q30" s="108"/>
      <c r="R30" s="117"/>
      <c r="S30" s="117" t="s">
        <v>2</v>
      </c>
      <c r="T30" s="107"/>
      <c r="U30" s="112"/>
      <c r="V30" s="581"/>
      <c r="W30" s="581"/>
      <c r="X30" s="581"/>
      <c r="Y30" s="581"/>
      <c r="AA30" s="465"/>
      <c r="AB30" s="465"/>
      <c r="AC30" s="465"/>
      <c r="AD30" s="465"/>
    </row>
    <row r="31" spans="1:31" hidden="1" outlineLevel="1">
      <c r="A31" s="581">
        <v>31</v>
      </c>
      <c r="B31" s="117"/>
      <c r="C31" s="108"/>
      <c r="D31" s="117"/>
      <c r="E31" s="117">
        <v>9</v>
      </c>
      <c r="F31" s="106">
        <v>20</v>
      </c>
      <c r="G31" s="117"/>
      <c r="H31" s="108"/>
      <c r="I31" s="117"/>
      <c r="J31" s="117" t="s">
        <v>2</v>
      </c>
      <c r="K31" s="106">
        <v>50</v>
      </c>
      <c r="L31" s="117"/>
      <c r="M31" s="108"/>
      <c r="N31" s="117"/>
      <c r="O31" s="117">
        <v>2</v>
      </c>
      <c r="P31" s="106">
        <v>29</v>
      </c>
      <c r="Q31" s="117"/>
      <c r="R31" s="108"/>
      <c r="S31" s="117"/>
      <c r="T31" s="117">
        <v>2</v>
      </c>
      <c r="U31" s="112"/>
      <c r="V31" s="581"/>
      <c r="W31" s="581"/>
      <c r="X31" s="581"/>
      <c r="Y31" s="581"/>
      <c r="AA31" s="465"/>
      <c r="AB31" s="465"/>
      <c r="AC31" s="465"/>
      <c r="AD31" s="465"/>
    </row>
    <row r="32" spans="1:31" ht="5.0999999999999996" hidden="1" customHeight="1" outlineLevel="1">
      <c r="K32" s="106"/>
      <c r="U32" s="106"/>
    </row>
    <row r="33" spans="1:31" hidden="1" outlineLevel="1">
      <c r="A33" s="581">
        <v>10</v>
      </c>
      <c r="B33" s="108">
        <v>10</v>
      </c>
      <c r="C33" s="117"/>
      <c r="D33" s="117"/>
      <c r="E33" s="107"/>
      <c r="F33" s="106">
        <v>8</v>
      </c>
      <c r="G33" s="108">
        <v>8</v>
      </c>
      <c r="H33" s="117"/>
      <c r="I33" s="117"/>
      <c r="J33" s="107"/>
      <c r="K33" s="112">
        <v>36</v>
      </c>
      <c r="L33" s="108">
        <v>2</v>
      </c>
      <c r="M33" s="117"/>
      <c r="N33" s="117"/>
      <c r="O33" s="107"/>
      <c r="P33" s="106">
        <v>37</v>
      </c>
      <c r="Q33" s="108">
        <v>2</v>
      </c>
      <c r="R33" s="117"/>
      <c r="S33" s="117"/>
      <c r="T33" s="107"/>
      <c r="U33" s="106"/>
      <c r="Z33" s="106"/>
    </row>
    <row r="34" spans="1:31" hidden="1" outlineLevel="1">
      <c r="A34" s="581">
        <v>19</v>
      </c>
      <c r="B34" s="117"/>
      <c r="C34" s="108">
        <v>9</v>
      </c>
      <c r="D34" s="117"/>
      <c r="E34" s="117"/>
      <c r="F34" s="106">
        <v>13</v>
      </c>
      <c r="G34" s="117"/>
      <c r="H34" s="108">
        <v>5</v>
      </c>
      <c r="I34" s="117"/>
      <c r="J34" s="117"/>
      <c r="K34" s="112">
        <v>36</v>
      </c>
      <c r="L34" s="117"/>
      <c r="M34" s="108" t="s">
        <v>2</v>
      </c>
      <c r="N34" s="117"/>
      <c r="O34" s="117"/>
      <c r="P34" s="106">
        <v>39</v>
      </c>
      <c r="Q34" s="117"/>
      <c r="R34" s="108">
        <v>2</v>
      </c>
      <c r="S34" s="117"/>
      <c r="T34" s="117"/>
      <c r="U34" s="106"/>
      <c r="Z34" s="106"/>
    </row>
    <row r="35" spans="1:31" hidden="1" outlineLevel="1">
      <c r="A35" s="581">
        <v>27</v>
      </c>
      <c r="B35" s="108"/>
      <c r="C35" s="117"/>
      <c r="D35" s="117">
        <v>8</v>
      </c>
      <c r="E35" s="107"/>
      <c r="F35" s="106">
        <v>24</v>
      </c>
      <c r="G35" s="108"/>
      <c r="H35" s="117"/>
      <c r="I35" s="117">
        <v>11</v>
      </c>
      <c r="J35" s="107"/>
      <c r="K35" s="112">
        <v>40</v>
      </c>
      <c r="L35" s="108"/>
      <c r="M35" s="117"/>
      <c r="N35" s="117">
        <v>4</v>
      </c>
      <c r="O35" s="107"/>
      <c r="P35" s="106">
        <v>39</v>
      </c>
      <c r="Q35" s="108"/>
      <c r="R35" s="117"/>
      <c r="S35" s="117" t="s">
        <v>2</v>
      </c>
      <c r="T35" s="107"/>
      <c r="U35" s="106"/>
      <c r="Z35" s="106"/>
    </row>
    <row r="36" spans="1:31" hidden="1" outlineLevel="1">
      <c r="A36" s="581">
        <v>34</v>
      </c>
      <c r="B36" s="117"/>
      <c r="C36" s="108"/>
      <c r="D36" s="117"/>
      <c r="E36" s="117">
        <v>7</v>
      </c>
      <c r="F36" s="106">
        <v>35</v>
      </c>
      <c r="G36" s="117"/>
      <c r="H36" s="108"/>
      <c r="I36" s="117"/>
      <c r="J36" s="117">
        <v>11</v>
      </c>
      <c r="K36" s="112">
        <v>40</v>
      </c>
      <c r="L36" s="108"/>
      <c r="M36" s="117"/>
      <c r="N36" s="117"/>
      <c r="O36" s="107" t="s">
        <v>2</v>
      </c>
      <c r="P36" s="106">
        <v>50</v>
      </c>
      <c r="Q36" s="117"/>
      <c r="R36" s="108"/>
      <c r="S36" s="117"/>
      <c r="T36" s="117">
        <v>11</v>
      </c>
      <c r="U36" s="106"/>
      <c r="Z36" s="106"/>
    </row>
    <row r="37" spans="1:31" ht="5.0999999999999996" hidden="1" customHeight="1" outlineLevel="1">
      <c r="F37" s="106"/>
      <c r="K37" s="106"/>
      <c r="P37" s="106"/>
      <c r="U37" s="106"/>
      <c r="Z37" s="106"/>
    </row>
    <row r="38" spans="1:31" hidden="1" outlineLevel="1">
      <c r="A38" s="581"/>
      <c r="B38" s="581"/>
      <c r="C38" s="581"/>
      <c r="D38" s="581"/>
      <c r="E38" s="581"/>
      <c r="F38" s="112">
        <v>3</v>
      </c>
      <c r="G38" s="108">
        <v>3</v>
      </c>
      <c r="H38" s="117"/>
      <c r="I38" s="117"/>
      <c r="J38" s="107"/>
      <c r="K38" s="112"/>
      <c r="L38" s="581"/>
      <c r="M38" s="581"/>
      <c r="N38" s="581"/>
      <c r="O38" s="581"/>
      <c r="P38" s="112">
        <v>29</v>
      </c>
      <c r="Q38" s="108">
        <v>8</v>
      </c>
      <c r="R38" s="117"/>
      <c r="S38" s="117"/>
      <c r="T38" s="107"/>
      <c r="U38" s="106"/>
      <c r="Z38" s="581">
        <v>42</v>
      </c>
      <c r="AA38" s="108" t="s">
        <v>2</v>
      </c>
      <c r="AB38" s="117"/>
      <c r="AC38" s="117"/>
      <c r="AD38" s="107"/>
    </row>
    <row r="39" spans="1:31" hidden="1" outlineLevel="1">
      <c r="A39" s="581"/>
      <c r="B39" s="581"/>
      <c r="C39" s="581"/>
      <c r="D39" s="581"/>
      <c r="E39" s="581"/>
      <c r="F39" s="112">
        <v>11</v>
      </c>
      <c r="G39" s="117"/>
      <c r="H39" s="108">
        <v>8</v>
      </c>
      <c r="I39" s="117"/>
      <c r="J39" s="117"/>
      <c r="K39" s="112"/>
      <c r="L39" s="581"/>
      <c r="M39" s="581"/>
      <c r="N39" s="581"/>
      <c r="O39" s="581"/>
      <c r="P39" s="112">
        <v>36</v>
      </c>
      <c r="Q39" s="117"/>
      <c r="R39" s="108">
        <v>7</v>
      </c>
      <c r="S39" s="117"/>
      <c r="T39" s="117"/>
      <c r="V39" s="465"/>
      <c r="W39" s="465"/>
      <c r="X39" s="465"/>
      <c r="Y39" s="465"/>
      <c r="Z39" s="581">
        <v>45</v>
      </c>
      <c r="AA39" s="117"/>
      <c r="AB39" s="108">
        <v>3</v>
      </c>
      <c r="AC39" s="117"/>
      <c r="AD39" s="117"/>
    </row>
    <row r="40" spans="1:31" hidden="1" outlineLevel="1">
      <c r="A40" s="581"/>
      <c r="B40" s="581"/>
      <c r="C40" s="581"/>
      <c r="D40" s="581"/>
      <c r="E40" s="581"/>
      <c r="F40" s="112">
        <v>13</v>
      </c>
      <c r="G40" s="108"/>
      <c r="H40" s="117"/>
      <c r="I40" s="117">
        <v>2</v>
      </c>
      <c r="J40" s="107"/>
      <c r="K40" s="106"/>
      <c r="P40" s="112">
        <v>36</v>
      </c>
      <c r="Q40" s="108"/>
      <c r="R40" s="117"/>
      <c r="S40" s="117" t="s">
        <v>2</v>
      </c>
      <c r="T40" s="107"/>
      <c r="V40" s="465"/>
      <c r="W40" s="465"/>
      <c r="X40" s="465"/>
      <c r="Y40" s="465"/>
      <c r="Z40" s="581">
        <v>45</v>
      </c>
      <c r="AA40" s="108"/>
      <c r="AB40" s="117"/>
      <c r="AC40" s="117" t="s">
        <v>2</v>
      </c>
      <c r="AD40" s="107"/>
    </row>
    <row r="41" spans="1:31" hidden="1" outlineLevel="1">
      <c r="A41" s="581"/>
      <c r="B41" s="581"/>
      <c r="C41" s="581"/>
      <c r="D41" s="581"/>
      <c r="E41" s="581"/>
      <c r="F41" s="112">
        <v>21</v>
      </c>
      <c r="G41" s="117"/>
      <c r="H41" s="108"/>
      <c r="I41" s="117"/>
      <c r="J41" s="117">
        <v>8</v>
      </c>
      <c r="K41" s="106"/>
      <c r="P41" s="112">
        <v>42</v>
      </c>
      <c r="Q41" s="117"/>
      <c r="R41" s="108"/>
      <c r="S41" s="117"/>
      <c r="T41" s="117">
        <v>6</v>
      </c>
      <c r="V41" s="465"/>
      <c r="W41" s="465"/>
      <c r="X41" s="465"/>
      <c r="Y41" s="465"/>
      <c r="Z41" s="581">
        <v>46</v>
      </c>
      <c r="AA41" s="117"/>
      <c r="AB41" s="108"/>
      <c r="AC41" s="117"/>
      <c r="AD41" s="117">
        <v>1</v>
      </c>
    </row>
    <row r="42" spans="1:31" hidden="1" outlineLevel="1">
      <c r="A42" s="581"/>
      <c r="B42" s="581"/>
      <c r="C42" s="581"/>
      <c r="D42" s="581"/>
      <c r="E42" s="581"/>
      <c r="F42" s="581"/>
      <c r="G42" s="434"/>
      <c r="H42" s="113"/>
      <c r="I42" s="434"/>
      <c r="J42" s="434"/>
      <c r="K42" s="106"/>
      <c r="P42" s="581"/>
      <c r="Q42" s="434"/>
      <c r="R42" s="113"/>
      <c r="S42" s="434"/>
      <c r="T42" s="434"/>
      <c r="V42" s="434"/>
      <c r="W42" s="113"/>
      <c r="X42" s="434"/>
      <c r="Y42" s="434"/>
      <c r="Z42" s="581">
        <v>50</v>
      </c>
      <c r="AA42" s="117">
        <v>4</v>
      </c>
      <c r="AB42" s="108"/>
      <c r="AC42" s="117"/>
      <c r="AD42" s="117"/>
    </row>
    <row r="43" spans="1:31" ht="5.0999999999999996" customHeight="1"/>
    <row r="44" spans="1:31">
      <c r="A44" s="1533" t="s">
        <v>3</v>
      </c>
      <c r="B44" s="416">
        <f>SUM(B3:B41)</f>
        <v>64</v>
      </c>
      <c r="C44" s="416">
        <f>SUM(C3:C41)</f>
        <v>31</v>
      </c>
      <c r="D44" s="416">
        <f>SUM(D3:D41)</f>
        <v>46</v>
      </c>
      <c r="E44" s="416">
        <f>SUM(E3:E41)</f>
        <v>36</v>
      </c>
      <c r="F44" s="435">
        <f>SUM(B44:E44)</f>
        <v>177</v>
      </c>
      <c r="G44" s="416">
        <f>SUM(G3:G41)</f>
        <v>39</v>
      </c>
      <c r="H44" s="416">
        <f>SUM(H3:H41)</f>
        <v>36</v>
      </c>
      <c r="I44" s="416">
        <f>SUM(I3:I41)</f>
        <v>35</v>
      </c>
      <c r="J44" s="416">
        <f>SUM(J3:J41)</f>
        <v>47</v>
      </c>
      <c r="K44" s="435">
        <f>SUM(G44:J44)</f>
        <v>157</v>
      </c>
      <c r="L44" s="416">
        <f>SUM(L3:L41)</f>
        <v>25</v>
      </c>
      <c r="M44" s="416">
        <f>SUM(M3:M41)</f>
        <v>22</v>
      </c>
      <c r="N44" s="416">
        <f>SUM(N3:N41)</f>
        <v>18</v>
      </c>
      <c r="O44" s="416">
        <f>SUM(O3:O41)</f>
        <v>18</v>
      </c>
      <c r="P44" s="435">
        <f>SUM(L44:O44)</f>
        <v>83</v>
      </c>
      <c r="Q44" s="416">
        <f>SUM(Q3:Q41)</f>
        <v>27</v>
      </c>
      <c r="R44" s="416">
        <f>SUM(R3:R41)</f>
        <v>34</v>
      </c>
      <c r="S44" s="416">
        <f>SUM(S3:S41)</f>
        <v>6</v>
      </c>
      <c r="T44" s="416">
        <f>SUM(T3:T41)</f>
        <v>31</v>
      </c>
      <c r="U44" s="435">
        <f>SUM(Q44:T44)</f>
        <v>98</v>
      </c>
      <c r="V44" s="416">
        <f>SUM(V3:V41)</f>
        <v>6</v>
      </c>
      <c r="W44" s="416">
        <f>SUM(W3:W41)</f>
        <v>6</v>
      </c>
      <c r="X44" s="416">
        <f>SUM(X3:X41)</f>
        <v>0</v>
      </c>
      <c r="Y44" s="416">
        <f>SUM(Y3:Y41)</f>
        <v>6</v>
      </c>
      <c r="Z44" s="435">
        <f>SUM(V44:Y44)</f>
        <v>18</v>
      </c>
      <c r="AA44" s="416">
        <f>SUM(AA3:AA41)</f>
        <v>24</v>
      </c>
      <c r="AB44" s="416">
        <f>SUM(AB3:AB41)</f>
        <v>21</v>
      </c>
      <c r="AC44" s="416">
        <f>SUM(AC3:AC41)</f>
        <v>-17</v>
      </c>
      <c r="AD44" s="416">
        <f>SUM(AD3:AD41)</f>
        <v>5</v>
      </c>
      <c r="AE44" s="435">
        <f>SUM(AA44:AD44)</f>
        <v>33</v>
      </c>
    </row>
    <row r="45" spans="1:31">
      <c r="A45" s="1534" t="s">
        <v>4</v>
      </c>
      <c r="B45" s="416">
        <f>COUNTA(B3:B41)</f>
        <v>6</v>
      </c>
      <c r="C45" s="416">
        <f>COUNTA(C3:C41)</f>
        <v>6</v>
      </c>
      <c r="D45" s="416">
        <f>COUNTA(D3:D41)</f>
        <v>6</v>
      </c>
      <c r="E45" s="416">
        <f>COUNTA(E3:E41)</f>
        <v>6</v>
      </c>
      <c r="F45" s="435">
        <f>SUM(B45:E45)</f>
        <v>24</v>
      </c>
      <c r="G45" s="416">
        <f>COUNTA(G3:G41)</f>
        <v>7</v>
      </c>
      <c r="H45" s="416">
        <f>COUNTA(H3:H41)</f>
        <v>7</v>
      </c>
      <c r="I45" s="416">
        <f>COUNTA(I3:I41)</f>
        <v>7</v>
      </c>
      <c r="J45" s="416">
        <f>COUNTA(J3:J41)</f>
        <v>7</v>
      </c>
      <c r="K45" s="435">
        <f>SUM(G45:J45)</f>
        <v>28</v>
      </c>
      <c r="L45" s="416">
        <f>COUNTA(L3:L41)</f>
        <v>6</v>
      </c>
      <c r="M45" s="416">
        <f>COUNTA(M3:M41)</f>
        <v>6</v>
      </c>
      <c r="N45" s="416">
        <f>COUNTA(N3:N41)</f>
        <v>6</v>
      </c>
      <c r="O45" s="416">
        <f>COUNTA(O3:O41)</f>
        <v>5</v>
      </c>
      <c r="P45" s="435">
        <f>SUM(L45:O45)</f>
        <v>23</v>
      </c>
      <c r="Q45" s="416">
        <f>COUNTA(Q3:Q41)</f>
        <v>7</v>
      </c>
      <c r="R45" s="416">
        <f>COUNTA(R3:R41)</f>
        <v>7</v>
      </c>
      <c r="S45" s="416">
        <f>COUNTA(S3:S41)</f>
        <v>6</v>
      </c>
      <c r="T45" s="416">
        <f>COUNTA(T3:T41)</f>
        <v>6</v>
      </c>
      <c r="U45" s="435">
        <f>SUM(Q45:T45)</f>
        <v>26</v>
      </c>
      <c r="V45" s="416">
        <f>COUNTA(V3:V41)</f>
        <v>2</v>
      </c>
      <c r="W45" s="416">
        <f>COUNTA(W3:W41)</f>
        <v>2</v>
      </c>
      <c r="X45" s="416">
        <f>COUNTA(X3:X41)</f>
        <v>1</v>
      </c>
      <c r="Y45" s="416">
        <f>COUNTA(Y3:Y41)</f>
        <v>1</v>
      </c>
      <c r="Z45" s="435">
        <f>SUM(V45:Y45)</f>
        <v>6</v>
      </c>
      <c r="AA45" s="416">
        <f>COUNTA(AA3:AA41)</f>
        <v>6</v>
      </c>
      <c r="AB45" s="416">
        <f>COUNTA(AB3:AB41)</f>
        <v>5</v>
      </c>
      <c r="AC45" s="416">
        <f>COUNTA(AC3:AC41)</f>
        <v>3</v>
      </c>
      <c r="AD45" s="416">
        <f>COUNTA(AD3:AD41)</f>
        <v>3</v>
      </c>
      <c r="AE45" s="435">
        <f>SUM(AA45:AD45)</f>
        <v>17</v>
      </c>
    </row>
    <row r="46" spans="1:31">
      <c r="A46" s="1533" t="s">
        <v>6</v>
      </c>
      <c r="B46" s="416">
        <f>B45-COUNT(B3:B41)</f>
        <v>0</v>
      </c>
      <c r="C46" s="416">
        <f>C45-COUNT(C3:C41)</f>
        <v>2</v>
      </c>
      <c r="D46" s="416">
        <f>D45-COUNT(D3:D41)</f>
        <v>0</v>
      </c>
      <c r="E46" s="416">
        <f>E45-COUNT(E3:E41)</f>
        <v>1</v>
      </c>
      <c r="F46" s="435">
        <f>SUM(B46:E46)</f>
        <v>3</v>
      </c>
      <c r="G46" s="416">
        <f>G45-COUNT(G3:G41)</f>
        <v>0</v>
      </c>
      <c r="H46" s="416">
        <f>H45-COUNT(H3:H41)</f>
        <v>2</v>
      </c>
      <c r="I46" s="416">
        <f>I45-COUNT(I3:I41)</f>
        <v>0</v>
      </c>
      <c r="J46" s="416">
        <f>J45-COUNT(J3:J41)</f>
        <v>2</v>
      </c>
      <c r="K46" s="435">
        <f>SUM(G46:J46)</f>
        <v>4</v>
      </c>
      <c r="L46" s="416">
        <f>L45-COUNT(L3:L41)</f>
        <v>0</v>
      </c>
      <c r="M46" s="416">
        <f>M45-COUNT(M3:M41)</f>
        <v>2</v>
      </c>
      <c r="N46" s="416">
        <f>N45-COUNT(N3:N41)</f>
        <v>1</v>
      </c>
      <c r="O46" s="416">
        <f>O45-COUNT(O3:O41)</f>
        <v>1</v>
      </c>
      <c r="P46" s="435">
        <f>SUM(L46:O46)</f>
        <v>4</v>
      </c>
      <c r="Q46" s="416">
        <f>Q45-COUNT(Q3:Q41)</f>
        <v>1</v>
      </c>
      <c r="R46" s="416">
        <f>R45-COUNT(R3:R41)</f>
        <v>2</v>
      </c>
      <c r="S46" s="416">
        <f>S45-COUNT(S3:S41)</f>
        <v>5</v>
      </c>
      <c r="T46" s="416">
        <f>T45-COUNT(T3:T41)</f>
        <v>0</v>
      </c>
      <c r="U46" s="435">
        <f>SUM(Q46:T46)</f>
        <v>8</v>
      </c>
      <c r="V46" s="416">
        <f>V45-COUNT(V3:V41)</f>
        <v>0</v>
      </c>
      <c r="W46" s="416">
        <f>W45-COUNT(W3:W41)</f>
        <v>0</v>
      </c>
      <c r="X46" s="416">
        <f>X45-COUNT(X3:X41)</f>
        <v>1</v>
      </c>
      <c r="Y46" s="416">
        <f>Y45-COUNT(Y3:Y41)</f>
        <v>0</v>
      </c>
      <c r="Z46" s="435">
        <f>SUM(V46:Y46)</f>
        <v>1</v>
      </c>
      <c r="AA46" s="416">
        <f>AA45-COUNT(AA3:AA41)</f>
        <v>3</v>
      </c>
      <c r="AB46" s="416">
        <f>AB45-COUNT(AB3:AB41)</f>
        <v>0</v>
      </c>
      <c r="AC46" s="416">
        <f>AC45-COUNT(AC3:AC41)</f>
        <v>1</v>
      </c>
      <c r="AD46" s="416">
        <f>AD45-COUNT(AD3:AD41)</f>
        <v>0</v>
      </c>
      <c r="AE46" s="435">
        <f>SUM(AA46:AD46)</f>
        <v>4</v>
      </c>
    </row>
    <row r="47" spans="1:31">
      <c r="A47" s="1533" t="s">
        <v>12</v>
      </c>
      <c r="B47" s="417">
        <f>B46/B45</f>
        <v>0</v>
      </c>
      <c r="C47" s="417">
        <f t="shared" ref="C47:AC47" si="0">C46/C45</f>
        <v>0.33333333333333331</v>
      </c>
      <c r="D47" s="417">
        <f t="shared" si="0"/>
        <v>0</v>
      </c>
      <c r="E47" s="417">
        <f t="shared" si="0"/>
        <v>0.16666666666666666</v>
      </c>
      <c r="F47" s="436">
        <f>F46/F45</f>
        <v>0.125</v>
      </c>
      <c r="G47" s="417">
        <f t="shared" si="0"/>
        <v>0</v>
      </c>
      <c r="H47" s="417">
        <f t="shared" si="0"/>
        <v>0.2857142857142857</v>
      </c>
      <c r="I47" s="417">
        <f t="shared" si="0"/>
        <v>0</v>
      </c>
      <c r="J47" s="417">
        <f t="shared" si="0"/>
        <v>0.2857142857142857</v>
      </c>
      <c r="K47" s="436">
        <f t="shared" si="0"/>
        <v>0.14285714285714285</v>
      </c>
      <c r="L47" s="417">
        <f t="shared" si="0"/>
        <v>0</v>
      </c>
      <c r="M47" s="417">
        <f t="shared" si="0"/>
        <v>0.33333333333333331</v>
      </c>
      <c r="N47" s="417">
        <f t="shared" si="0"/>
        <v>0.16666666666666666</v>
      </c>
      <c r="O47" s="417">
        <f t="shared" si="0"/>
        <v>0.2</v>
      </c>
      <c r="P47" s="436">
        <f>P46/P45</f>
        <v>0.17391304347826086</v>
      </c>
      <c r="Q47" s="417">
        <f t="shared" si="0"/>
        <v>0.14285714285714285</v>
      </c>
      <c r="R47" s="417">
        <f t="shared" si="0"/>
        <v>0.2857142857142857</v>
      </c>
      <c r="S47" s="417">
        <f t="shared" si="0"/>
        <v>0.83333333333333337</v>
      </c>
      <c r="T47" s="417">
        <f t="shared" si="0"/>
        <v>0</v>
      </c>
      <c r="U47" s="436">
        <f t="shared" si="0"/>
        <v>0.30769230769230771</v>
      </c>
      <c r="V47" s="417">
        <f t="shared" si="0"/>
        <v>0</v>
      </c>
      <c r="W47" s="417">
        <f t="shared" si="0"/>
        <v>0</v>
      </c>
      <c r="X47" s="417">
        <f t="shared" si="0"/>
        <v>1</v>
      </c>
      <c r="Y47" s="417">
        <f t="shared" si="0"/>
        <v>0</v>
      </c>
      <c r="Z47" s="436">
        <f>Z46/Z45</f>
        <v>0.16666666666666666</v>
      </c>
      <c r="AA47" s="417">
        <f t="shared" si="0"/>
        <v>0.5</v>
      </c>
      <c r="AB47" s="417">
        <f t="shared" si="0"/>
        <v>0</v>
      </c>
      <c r="AC47" s="417">
        <f t="shared" si="0"/>
        <v>0.33333333333333331</v>
      </c>
      <c r="AD47" s="417">
        <f t="shared" ref="AD47" si="1">AD46/AD45</f>
        <v>0</v>
      </c>
      <c r="AE47" s="436">
        <f>AE46/AE45</f>
        <v>0.23529411764705882</v>
      </c>
    </row>
    <row r="48" spans="1:31">
      <c r="A48" s="1533" t="s">
        <v>5</v>
      </c>
      <c r="B48" s="419">
        <f>B44/B45</f>
        <v>10.666666666666666</v>
      </c>
      <c r="C48" s="419">
        <f t="shared" ref="C48:AC48" si="2">C44/C45</f>
        <v>5.166666666666667</v>
      </c>
      <c r="D48" s="419">
        <f t="shared" si="2"/>
        <v>7.666666666666667</v>
      </c>
      <c r="E48" s="419">
        <f t="shared" si="2"/>
        <v>6</v>
      </c>
      <c r="F48" s="437">
        <f>F44/F45</f>
        <v>7.375</v>
      </c>
      <c r="G48" s="419">
        <f t="shared" si="2"/>
        <v>5.5714285714285712</v>
      </c>
      <c r="H48" s="419">
        <f t="shared" si="2"/>
        <v>5.1428571428571432</v>
      </c>
      <c r="I48" s="419">
        <f t="shared" si="2"/>
        <v>5</v>
      </c>
      <c r="J48" s="419">
        <f t="shared" si="2"/>
        <v>6.7142857142857144</v>
      </c>
      <c r="K48" s="437">
        <f t="shared" si="2"/>
        <v>5.6071428571428568</v>
      </c>
      <c r="L48" s="419">
        <f t="shared" si="2"/>
        <v>4.166666666666667</v>
      </c>
      <c r="M48" s="419">
        <f t="shared" si="2"/>
        <v>3.6666666666666665</v>
      </c>
      <c r="N48" s="419">
        <f t="shared" si="2"/>
        <v>3</v>
      </c>
      <c r="O48" s="419">
        <f t="shared" si="2"/>
        <v>3.6</v>
      </c>
      <c r="P48" s="437">
        <f>P44/P45</f>
        <v>3.6086956521739131</v>
      </c>
      <c r="Q48" s="419">
        <f t="shared" si="2"/>
        <v>3.8571428571428572</v>
      </c>
      <c r="R48" s="419">
        <f t="shared" si="2"/>
        <v>4.8571428571428568</v>
      </c>
      <c r="S48" s="419">
        <f t="shared" si="2"/>
        <v>1</v>
      </c>
      <c r="T48" s="419">
        <f t="shared" si="2"/>
        <v>5.166666666666667</v>
      </c>
      <c r="U48" s="437">
        <f t="shared" si="2"/>
        <v>3.7692307692307692</v>
      </c>
      <c r="V48" s="419">
        <f t="shared" si="2"/>
        <v>3</v>
      </c>
      <c r="W48" s="419">
        <f t="shared" si="2"/>
        <v>3</v>
      </c>
      <c r="X48" s="419">
        <f t="shared" si="2"/>
        <v>0</v>
      </c>
      <c r="Y48" s="419">
        <f t="shared" si="2"/>
        <v>6</v>
      </c>
      <c r="Z48" s="437">
        <f>Z44/Z45</f>
        <v>3</v>
      </c>
      <c r="AA48" s="419">
        <f t="shared" si="2"/>
        <v>4</v>
      </c>
      <c r="AB48" s="419">
        <f t="shared" si="2"/>
        <v>4.2</v>
      </c>
      <c r="AC48" s="419">
        <f t="shared" si="2"/>
        <v>-5.666666666666667</v>
      </c>
      <c r="AD48" s="419">
        <f t="shared" ref="AD48" si="3">AD44/AD45</f>
        <v>1.6666666666666667</v>
      </c>
      <c r="AE48" s="437">
        <f>AE44/AE45</f>
        <v>1.9411764705882353</v>
      </c>
    </row>
    <row r="49" spans="1:31">
      <c r="A49" s="1533" t="s">
        <v>8</v>
      </c>
      <c r="B49" s="419">
        <f>B44/(B45-B46)</f>
        <v>10.666666666666666</v>
      </c>
      <c r="C49" s="419">
        <f t="shared" ref="C49:AC49" si="4">C44/(C45-C46)</f>
        <v>7.75</v>
      </c>
      <c r="D49" s="419">
        <f t="shared" si="4"/>
        <v>7.666666666666667</v>
      </c>
      <c r="E49" s="419">
        <f t="shared" si="4"/>
        <v>7.2</v>
      </c>
      <c r="F49" s="437">
        <f>F44/(F45-F46)</f>
        <v>8.4285714285714288</v>
      </c>
      <c r="G49" s="419">
        <f t="shared" si="4"/>
        <v>5.5714285714285712</v>
      </c>
      <c r="H49" s="419">
        <f t="shared" si="4"/>
        <v>7.2</v>
      </c>
      <c r="I49" s="419">
        <f t="shared" si="4"/>
        <v>5</v>
      </c>
      <c r="J49" s="419">
        <f t="shared" si="4"/>
        <v>9.4</v>
      </c>
      <c r="K49" s="437">
        <f t="shared" si="4"/>
        <v>6.541666666666667</v>
      </c>
      <c r="L49" s="419">
        <f t="shared" si="4"/>
        <v>4.166666666666667</v>
      </c>
      <c r="M49" s="419">
        <f t="shared" si="4"/>
        <v>5.5</v>
      </c>
      <c r="N49" s="419">
        <f t="shared" si="4"/>
        <v>3.6</v>
      </c>
      <c r="O49" s="419">
        <f t="shared" si="4"/>
        <v>4.5</v>
      </c>
      <c r="P49" s="437">
        <f>P44/(P45-P46)</f>
        <v>4.3684210526315788</v>
      </c>
      <c r="Q49" s="419">
        <f t="shared" si="4"/>
        <v>4.5</v>
      </c>
      <c r="R49" s="419">
        <f t="shared" si="4"/>
        <v>6.8</v>
      </c>
      <c r="S49" s="419">
        <f t="shared" si="4"/>
        <v>6</v>
      </c>
      <c r="T49" s="419">
        <f t="shared" si="4"/>
        <v>5.166666666666667</v>
      </c>
      <c r="U49" s="437">
        <f t="shared" si="4"/>
        <v>5.4444444444444446</v>
      </c>
      <c r="V49" s="419">
        <f t="shared" si="4"/>
        <v>3</v>
      </c>
      <c r="W49" s="419">
        <f t="shared" si="4"/>
        <v>3</v>
      </c>
      <c r="X49" s="419">
        <v>0</v>
      </c>
      <c r="Y49" s="419">
        <v>0</v>
      </c>
      <c r="Z49" s="437">
        <f>Z44/(Z45-Z46)</f>
        <v>3.6</v>
      </c>
      <c r="AA49" s="419">
        <f t="shared" si="4"/>
        <v>8</v>
      </c>
      <c r="AB49" s="419">
        <f t="shared" si="4"/>
        <v>4.2</v>
      </c>
      <c r="AC49" s="419">
        <f t="shared" si="4"/>
        <v>-8.5</v>
      </c>
      <c r="AD49" s="419">
        <f t="shared" ref="AD49" si="5">AD44/(AD45-AD46)</f>
        <v>1.6666666666666667</v>
      </c>
      <c r="AE49" s="437">
        <f>AE44/(AE45-AE46)</f>
        <v>2.5384615384615383</v>
      </c>
    </row>
    <row r="51" spans="1:31">
      <c r="B51" s="1551" t="s">
        <v>69</v>
      </c>
      <c r="C51" s="1551"/>
      <c r="D51" s="1551"/>
      <c r="E51" s="1551"/>
      <c r="G51" s="1551" t="s">
        <v>68</v>
      </c>
      <c r="H51" s="1551"/>
      <c r="I51" s="1551"/>
      <c r="J51" s="1551"/>
      <c r="L51" s="1553" t="s">
        <v>74</v>
      </c>
      <c r="M51" s="1553"/>
      <c r="N51" s="1553"/>
      <c r="O51" s="1553"/>
      <c r="Q51" s="1553" t="s">
        <v>75</v>
      </c>
      <c r="R51" s="1553"/>
      <c r="S51" s="1553"/>
      <c r="T51" s="1553"/>
    </row>
    <row r="52" spans="1:31">
      <c r="A52" s="1533" t="s">
        <v>3</v>
      </c>
      <c r="B52" s="416">
        <v>62</v>
      </c>
      <c r="C52" s="416">
        <v>28</v>
      </c>
      <c r="D52" s="416">
        <v>41</v>
      </c>
      <c r="E52" s="416">
        <v>44</v>
      </c>
      <c r="F52" s="435">
        <f>SUM(B52:E52)</f>
        <v>175</v>
      </c>
      <c r="G52" s="416">
        <v>39</v>
      </c>
      <c r="H52" s="416">
        <v>41</v>
      </c>
      <c r="I52" s="416">
        <v>35</v>
      </c>
      <c r="J52" s="416">
        <v>47</v>
      </c>
      <c r="K52" s="435">
        <f>SUM(G52:J52)</f>
        <v>162</v>
      </c>
      <c r="L52" s="416">
        <f>L44+V44</f>
        <v>31</v>
      </c>
      <c r="M52" s="416">
        <f>M44+W44</f>
        <v>28</v>
      </c>
      <c r="N52" s="416">
        <f>N44+X44</f>
        <v>18</v>
      </c>
      <c r="O52" s="416">
        <f>O44+Y44</f>
        <v>24</v>
      </c>
      <c r="P52" s="435">
        <f>SUM(L52:O52)</f>
        <v>101</v>
      </c>
      <c r="Q52" s="416">
        <f t="shared" ref="Q52:T54" si="6">Q44+AA44+AF44</f>
        <v>51</v>
      </c>
      <c r="R52" s="416">
        <f t="shared" si="6"/>
        <v>55</v>
      </c>
      <c r="S52" s="416">
        <f t="shared" si="6"/>
        <v>-11</v>
      </c>
      <c r="T52" s="416">
        <f t="shared" si="6"/>
        <v>36</v>
      </c>
      <c r="U52" s="435">
        <f>SUM(Q52:T52)</f>
        <v>131</v>
      </c>
      <c r="Z52" s="435"/>
      <c r="AE52" s="435"/>
    </row>
    <row r="53" spans="1:31">
      <c r="A53" s="1534" t="s">
        <v>4</v>
      </c>
      <c r="B53" s="416">
        <v>7</v>
      </c>
      <c r="C53" s="416">
        <v>7</v>
      </c>
      <c r="D53" s="416">
        <v>7</v>
      </c>
      <c r="E53" s="416">
        <v>7</v>
      </c>
      <c r="F53" s="435">
        <f>SUM(B53:E53)</f>
        <v>28</v>
      </c>
      <c r="G53" s="416">
        <v>6</v>
      </c>
      <c r="H53" s="416">
        <v>6</v>
      </c>
      <c r="I53" s="416">
        <v>6</v>
      </c>
      <c r="J53" s="416">
        <v>6</v>
      </c>
      <c r="K53" s="435">
        <f>SUM(G53:J53)</f>
        <v>24</v>
      </c>
      <c r="L53" s="416">
        <f t="shared" ref="L53:O53" si="7">L45+V45</f>
        <v>8</v>
      </c>
      <c r="M53" s="416">
        <f t="shared" si="7"/>
        <v>8</v>
      </c>
      <c r="N53" s="416">
        <f t="shared" si="7"/>
        <v>7</v>
      </c>
      <c r="O53" s="416">
        <f t="shared" si="7"/>
        <v>6</v>
      </c>
      <c r="P53" s="435">
        <f>SUM(L53:O53)</f>
        <v>29</v>
      </c>
      <c r="Q53" s="416">
        <f t="shared" si="6"/>
        <v>13</v>
      </c>
      <c r="R53" s="416">
        <f t="shared" si="6"/>
        <v>12</v>
      </c>
      <c r="S53" s="416">
        <f t="shared" si="6"/>
        <v>9</v>
      </c>
      <c r="T53" s="416">
        <f t="shared" si="6"/>
        <v>9</v>
      </c>
      <c r="U53" s="435">
        <f>SUM(Q53:T53)</f>
        <v>43</v>
      </c>
      <c r="Z53" s="435"/>
      <c r="AE53" s="435"/>
    </row>
    <row r="54" spans="1:31">
      <c r="A54" s="1533" t="s">
        <v>6</v>
      </c>
      <c r="B54" s="416">
        <v>0</v>
      </c>
      <c r="C54" s="416">
        <v>2</v>
      </c>
      <c r="D54" s="416">
        <v>0</v>
      </c>
      <c r="E54" s="416">
        <v>1</v>
      </c>
      <c r="F54" s="435">
        <f>SUM(B54:E54)</f>
        <v>3</v>
      </c>
      <c r="G54" s="416">
        <v>0</v>
      </c>
      <c r="H54" s="416">
        <v>0</v>
      </c>
      <c r="I54" s="416">
        <v>1</v>
      </c>
      <c r="J54" s="416">
        <v>1</v>
      </c>
      <c r="K54" s="435">
        <f>SUM(G54:J54)</f>
        <v>2</v>
      </c>
      <c r="L54" s="416">
        <f t="shared" ref="L54:O54" si="8">L46+V46</f>
        <v>0</v>
      </c>
      <c r="M54" s="416">
        <f t="shared" si="8"/>
        <v>2</v>
      </c>
      <c r="N54" s="416">
        <f t="shared" si="8"/>
        <v>2</v>
      </c>
      <c r="O54" s="416">
        <f t="shared" si="8"/>
        <v>1</v>
      </c>
      <c r="P54" s="435">
        <f>SUM(L54:O54)</f>
        <v>5</v>
      </c>
      <c r="Q54" s="416">
        <f t="shared" si="6"/>
        <v>4</v>
      </c>
      <c r="R54" s="416">
        <f t="shared" si="6"/>
        <v>2</v>
      </c>
      <c r="S54" s="416">
        <f t="shared" si="6"/>
        <v>6</v>
      </c>
      <c r="T54" s="416">
        <f t="shared" si="6"/>
        <v>0</v>
      </c>
      <c r="U54" s="435">
        <f>SUM(Q54:T54)</f>
        <v>12</v>
      </c>
      <c r="Z54" s="435"/>
      <c r="AE54" s="435"/>
    </row>
    <row r="55" spans="1:31">
      <c r="A55" s="1533" t="s">
        <v>12</v>
      </c>
      <c r="B55" s="417">
        <v>0</v>
      </c>
      <c r="C55" s="417">
        <v>0.2857142857142857</v>
      </c>
      <c r="D55" s="417">
        <v>0</v>
      </c>
      <c r="E55" s="417">
        <v>0.14285714285714285</v>
      </c>
      <c r="F55" s="436">
        <f>F54/F53</f>
        <v>0.10714285714285714</v>
      </c>
      <c r="G55" s="417">
        <v>0</v>
      </c>
      <c r="H55" s="417">
        <v>0</v>
      </c>
      <c r="I55" s="417">
        <v>0.16666666666666666</v>
      </c>
      <c r="J55" s="417">
        <v>0.16666666666666666</v>
      </c>
      <c r="K55" s="436">
        <f t="shared" ref="K55:U55" si="9">K54/K53</f>
        <v>8.3333333333333329E-2</v>
      </c>
      <c r="L55" s="417">
        <f t="shared" si="9"/>
        <v>0</v>
      </c>
      <c r="M55" s="417">
        <f t="shared" si="9"/>
        <v>0.25</v>
      </c>
      <c r="N55" s="417">
        <f t="shared" si="9"/>
        <v>0.2857142857142857</v>
      </c>
      <c r="O55" s="417">
        <f t="shared" si="9"/>
        <v>0.16666666666666666</v>
      </c>
      <c r="P55" s="436">
        <f t="shared" si="9"/>
        <v>0.17241379310344829</v>
      </c>
      <c r="Q55" s="417">
        <f t="shared" si="9"/>
        <v>0.30769230769230771</v>
      </c>
      <c r="R55" s="417">
        <f t="shared" si="9"/>
        <v>0.16666666666666666</v>
      </c>
      <c r="S55" s="417">
        <f t="shared" si="9"/>
        <v>0.66666666666666663</v>
      </c>
      <c r="T55" s="417">
        <f t="shared" si="9"/>
        <v>0</v>
      </c>
      <c r="U55" s="436">
        <f t="shared" si="9"/>
        <v>0.27906976744186046</v>
      </c>
      <c r="Z55" s="436"/>
      <c r="AE55" s="436"/>
    </row>
    <row r="56" spans="1:31">
      <c r="A56" s="1533" t="s">
        <v>5</v>
      </c>
      <c r="B56" s="419">
        <v>8.8571428571428577</v>
      </c>
      <c r="C56" s="419">
        <v>4</v>
      </c>
      <c r="D56" s="419">
        <v>5.8571428571428568</v>
      </c>
      <c r="E56" s="419">
        <v>6.2857142857142856</v>
      </c>
      <c r="F56" s="437">
        <f>F52/F53</f>
        <v>6.25</v>
      </c>
      <c r="G56" s="419">
        <v>6.5</v>
      </c>
      <c r="H56" s="419">
        <v>6.833333333333333</v>
      </c>
      <c r="I56" s="419">
        <v>5.833333333333333</v>
      </c>
      <c r="J56" s="419">
        <v>7.833333333333333</v>
      </c>
      <c r="K56" s="437">
        <f t="shared" ref="K56:U56" si="10">K52/K53</f>
        <v>6.75</v>
      </c>
      <c r="L56" s="419">
        <f t="shared" si="10"/>
        <v>3.875</v>
      </c>
      <c r="M56" s="419">
        <f t="shared" si="10"/>
        <v>3.5</v>
      </c>
      <c r="N56" s="419">
        <f t="shared" si="10"/>
        <v>2.5714285714285716</v>
      </c>
      <c r="O56" s="419">
        <f t="shared" si="10"/>
        <v>4</v>
      </c>
      <c r="P56" s="437">
        <f t="shared" si="10"/>
        <v>3.4827586206896552</v>
      </c>
      <c r="Q56" s="419">
        <f t="shared" si="10"/>
        <v>3.9230769230769229</v>
      </c>
      <c r="R56" s="419">
        <f t="shared" si="10"/>
        <v>4.583333333333333</v>
      </c>
      <c r="S56" s="419">
        <f t="shared" si="10"/>
        <v>-1.2222222222222223</v>
      </c>
      <c r="T56" s="419">
        <f t="shared" si="10"/>
        <v>4</v>
      </c>
      <c r="U56" s="437">
        <f t="shared" si="10"/>
        <v>3.0465116279069768</v>
      </c>
      <c r="Z56" s="437"/>
      <c r="AE56" s="437"/>
    </row>
    <row r="57" spans="1:31">
      <c r="A57" s="1533" t="s">
        <v>8</v>
      </c>
      <c r="B57" s="419">
        <v>8.8571428571428577</v>
      </c>
      <c r="C57" s="419">
        <v>5.6</v>
      </c>
      <c r="D57" s="419">
        <v>5.8571428571428568</v>
      </c>
      <c r="E57" s="419">
        <v>7.333333333333333</v>
      </c>
      <c r="F57" s="437">
        <f>F52/(F53-F54)</f>
        <v>7</v>
      </c>
      <c r="G57" s="419">
        <v>6.5</v>
      </c>
      <c r="H57" s="419">
        <v>6.833333333333333</v>
      </c>
      <c r="I57" s="419">
        <v>7</v>
      </c>
      <c r="J57" s="419">
        <v>9.4</v>
      </c>
      <c r="K57" s="437">
        <f t="shared" ref="K57:U57" si="11">K52/(K53-K54)</f>
        <v>7.3636363636363633</v>
      </c>
      <c r="L57" s="419">
        <f t="shared" si="11"/>
        <v>3.875</v>
      </c>
      <c r="M57" s="419">
        <f t="shared" si="11"/>
        <v>4.666666666666667</v>
      </c>
      <c r="N57" s="419">
        <f t="shared" si="11"/>
        <v>3.6</v>
      </c>
      <c r="O57" s="419">
        <f t="shared" si="11"/>
        <v>4.8</v>
      </c>
      <c r="P57" s="437">
        <f t="shared" si="11"/>
        <v>4.208333333333333</v>
      </c>
      <c r="Q57" s="419">
        <f t="shared" si="11"/>
        <v>5.666666666666667</v>
      </c>
      <c r="R57" s="419">
        <f t="shared" si="11"/>
        <v>5.5</v>
      </c>
      <c r="S57" s="419">
        <f t="shared" si="11"/>
        <v>-3.6666666666666665</v>
      </c>
      <c r="T57" s="419">
        <f t="shared" si="11"/>
        <v>4</v>
      </c>
      <c r="U57" s="437">
        <f t="shared" si="11"/>
        <v>4.225806451612903</v>
      </c>
      <c r="Z57" s="437"/>
      <c r="AE57" s="437"/>
    </row>
    <row r="59" spans="1:31">
      <c r="B59" s="1550" t="s">
        <v>76</v>
      </c>
      <c r="C59" s="1550"/>
      <c r="D59" s="1550"/>
      <c r="E59" s="1550"/>
      <c r="G59" s="1550" t="s">
        <v>77</v>
      </c>
      <c r="H59" s="1550"/>
      <c r="I59" s="1550"/>
      <c r="J59" s="1550"/>
    </row>
    <row r="60" spans="1:31">
      <c r="A60" s="1533" t="s">
        <v>3</v>
      </c>
      <c r="B60" s="416">
        <f t="shared" ref="B60:E62" si="12">B52+L52</f>
        <v>93</v>
      </c>
      <c r="C60" s="416">
        <f t="shared" si="12"/>
        <v>56</v>
      </c>
      <c r="D60" s="416">
        <f t="shared" si="12"/>
        <v>59</v>
      </c>
      <c r="E60" s="416">
        <f t="shared" si="12"/>
        <v>68</v>
      </c>
      <c r="F60" s="435">
        <f>SUM(B60:E60)</f>
        <v>276</v>
      </c>
      <c r="G60" s="416">
        <f t="shared" ref="G60:J62" si="13">G52+Q52</f>
        <v>90</v>
      </c>
      <c r="H60" s="416">
        <f t="shared" si="13"/>
        <v>96</v>
      </c>
      <c r="I60" s="416">
        <f t="shared" si="13"/>
        <v>24</v>
      </c>
      <c r="J60" s="416">
        <f t="shared" si="13"/>
        <v>83</v>
      </c>
      <c r="K60" s="435">
        <f>SUM(G60:J60)</f>
        <v>293</v>
      </c>
      <c r="P60" s="435"/>
      <c r="U60" s="435"/>
      <c r="Z60" s="435"/>
      <c r="AE60" s="435"/>
    </row>
    <row r="61" spans="1:31">
      <c r="A61" s="1534" t="s">
        <v>4</v>
      </c>
      <c r="B61" s="416">
        <f t="shared" si="12"/>
        <v>15</v>
      </c>
      <c r="C61" s="416">
        <f t="shared" si="12"/>
        <v>15</v>
      </c>
      <c r="D61" s="416">
        <f t="shared" si="12"/>
        <v>14</v>
      </c>
      <c r="E61" s="416">
        <f t="shared" si="12"/>
        <v>13</v>
      </c>
      <c r="F61" s="435">
        <f>SUM(B61:E61)</f>
        <v>57</v>
      </c>
      <c r="G61" s="416">
        <f t="shared" si="13"/>
        <v>19</v>
      </c>
      <c r="H61" s="416">
        <f t="shared" si="13"/>
        <v>18</v>
      </c>
      <c r="I61" s="416">
        <f t="shared" si="13"/>
        <v>15</v>
      </c>
      <c r="J61" s="416">
        <f t="shared" si="13"/>
        <v>15</v>
      </c>
      <c r="K61" s="435">
        <f>SUM(G61:J61)</f>
        <v>67</v>
      </c>
      <c r="P61" s="435"/>
      <c r="U61" s="435"/>
      <c r="Z61" s="435"/>
      <c r="AE61" s="435"/>
    </row>
    <row r="62" spans="1:31">
      <c r="A62" s="1533" t="s">
        <v>6</v>
      </c>
      <c r="B62" s="416">
        <f t="shared" si="12"/>
        <v>0</v>
      </c>
      <c r="C62" s="416">
        <f t="shared" si="12"/>
        <v>4</v>
      </c>
      <c r="D62" s="416">
        <f t="shared" si="12"/>
        <v>2</v>
      </c>
      <c r="E62" s="416">
        <f t="shared" si="12"/>
        <v>2</v>
      </c>
      <c r="F62" s="435">
        <f>SUM(B62:E62)</f>
        <v>8</v>
      </c>
      <c r="G62" s="416">
        <f t="shared" si="13"/>
        <v>4</v>
      </c>
      <c r="H62" s="416">
        <f t="shared" si="13"/>
        <v>2</v>
      </c>
      <c r="I62" s="416">
        <f t="shared" si="13"/>
        <v>7</v>
      </c>
      <c r="J62" s="416">
        <f t="shared" si="13"/>
        <v>1</v>
      </c>
      <c r="K62" s="435">
        <f>SUM(G62:J62)</f>
        <v>14</v>
      </c>
      <c r="P62" s="435"/>
      <c r="U62" s="435"/>
      <c r="Z62" s="435"/>
      <c r="AE62" s="435"/>
    </row>
    <row r="63" spans="1:31">
      <c r="A63" s="1533" t="s">
        <v>12</v>
      </c>
      <c r="B63" s="417">
        <f t="shared" ref="B63:K63" si="14">B62/B61</f>
        <v>0</v>
      </c>
      <c r="C63" s="417">
        <f t="shared" si="14"/>
        <v>0.26666666666666666</v>
      </c>
      <c r="D63" s="417">
        <f t="shared" si="14"/>
        <v>0.14285714285714285</v>
      </c>
      <c r="E63" s="417">
        <f t="shared" si="14"/>
        <v>0.15384615384615385</v>
      </c>
      <c r="F63" s="436">
        <f t="shared" si="14"/>
        <v>0.14035087719298245</v>
      </c>
      <c r="G63" s="417">
        <f t="shared" si="14"/>
        <v>0.21052631578947367</v>
      </c>
      <c r="H63" s="417">
        <f t="shared" si="14"/>
        <v>0.1111111111111111</v>
      </c>
      <c r="I63" s="417">
        <f t="shared" si="14"/>
        <v>0.46666666666666667</v>
      </c>
      <c r="J63" s="417">
        <f t="shared" si="14"/>
        <v>6.6666666666666666E-2</v>
      </c>
      <c r="K63" s="436">
        <f t="shared" si="14"/>
        <v>0.20895522388059701</v>
      </c>
      <c r="P63" s="436"/>
      <c r="U63" s="436"/>
      <c r="Z63" s="436"/>
      <c r="AE63" s="436"/>
    </row>
    <row r="64" spans="1:31">
      <c r="A64" s="1533" t="s">
        <v>5</v>
      </c>
      <c r="B64" s="419">
        <f t="shared" ref="B64:K64" si="15">B60/B61</f>
        <v>6.2</v>
      </c>
      <c r="C64" s="419">
        <f t="shared" si="15"/>
        <v>3.7333333333333334</v>
      </c>
      <c r="D64" s="419">
        <f t="shared" si="15"/>
        <v>4.2142857142857144</v>
      </c>
      <c r="E64" s="419">
        <f t="shared" si="15"/>
        <v>5.2307692307692308</v>
      </c>
      <c r="F64" s="437">
        <f t="shared" si="15"/>
        <v>4.8421052631578947</v>
      </c>
      <c r="G64" s="419">
        <f t="shared" si="15"/>
        <v>4.7368421052631575</v>
      </c>
      <c r="H64" s="419">
        <f t="shared" si="15"/>
        <v>5.333333333333333</v>
      </c>
      <c r="I64" s="419">
        <f t="shared" si="15"/>
        <v>1.6</v>
      </c>
      <c r="J64" s="419">
        <f t="shared" si="15"/>
        <v>5.5333333333333332</v>
      </c>
      <c r="K64" s="437">
        <f t="shared" si="15"/>
        <v>4.3731343283582094</v>
      </c>
      <c r="P64" s="437"/>
      <c r="U64" s="437"/>
      <c r="Z64" s="437"/>
      <c r="AE64" s="437"/>
    </row>
    <row r="65" spans="1:31">
      <c r="A65" s="1533" t="s">
        <v>8</v>
      </c>
      <c r="B65" s="419">
        <f t="shared" ref="B65:K65" si="16">B60/(B61-B62)</f>
        <v>6.2</v>
      </c>
      <c r="C65" s="419">
        <f t="shared" si="16"/>
        <v>5.0909090909090908</v>
      </c>
      <c r="D65" s="419">
        <f t="shared" si="16"/>
        <v>4.916666666666667</v>
      </c>
      <c r="E65" s="419">
        <f t="shared" si="16"/>
        <v>6.1818181818181817</v>
      </c>
      <c r="F65" s="437">
        <f t="shared" si="16"/>
        <v>5.6326530612244898</v>
      </c>
      <c r="G65" s="419">
        <f t="shared" si="16"/>
        <v>6</v>
      </c>
      <c r="H65" s="419">
        <f t="shared" si="16"/>
        <v>6</v>
      </c>
      <c r="I65" s="419">
        <f t="shared" si="16"/>
        <v>3</v>
      </c>
      <c r="J65" s="419">
        <f t="shared" si="16"/>
        <v>5.9285714285714288</v>
      </c>
      <c r="K65" s="437">
        <f t="shared" si="16"/>
        <v>5.5283018867924527</v>
      </c>
      <c r="P65" s="437"/>
      <c r="U65" s="437"/>
      <c r="Z65" s="437"/>
      <c r="AE65" s="437"/>
    </row>
    <row r="67" spans="1:31">
      <c r="B67" s="1551" t="s">
        <v>78</v>
      </c>
      <c r="C67" s="1551"/>
      <c r="D67" s="1551"/>
      <c r="E67" s="1551"/>
      <c r="L67" s="1552" t="s">
        <v>79</v>
      </c>
      <c r="M67" s="1552"/>
      <c r="N67" s="1552"/>
      <c r="O67" s="1552"/>
      <c r="Q67" s="1553" t="s">
        <v>80</v>
      </c>
      <c r="R67" s="1553"/>
      <c r="S67" s="1553"/>
      <c r="T67" s="1553"/>
    </row>
    <row r="68" spans="1:31">
      <c r="A68" s="1533" t="s">
        <v>3</v>
      </c>
      <c r="B68" s="416">
        <f t="shared" ref="B68:E70" si="17">B52+G52</f>
        <v>101</v>
      </c>
      <c r="C68" s="416">
        <f t="shared" si="17"/>
        <v>69</v>
      </c>
      <c r="D68" s="416">
        <f t="shared" si="17"/>
        <v>76</v>
      </c>
      <c r="E68" s="416">
        <f t="shared" si="17"/>
        <v>91</v>
      </c>
      <c r="F68" s="435">
        <f>SUM(B68:E68)</f>
        <v>337</v>
      </c>
      <c r="K68" s="435"/>
      <c r="L68" s="416">
        <f t="shared" ref="L68:O70" si="18">L44+Q44</f>
        <v>52</v>
      </c>
      <c r="M68" s="416">
        <f t="shared" si="18"/>
        <v>56</v>
      </c>
      <c r="N68" s="416">
        <f t="shared" si="18"/>
        <v>24</v>
      </c>
      <c r="O68" s="416">
        <f t="shared" si="18"/>
        <v>49</v>
      </c>
      <c r="P68" s="435">
        <f>SUM(L68:O68)</f>
        <v>181</v>
      </c>
      <c r="Q68" s="416">
        <f t="shared" ref="Q68:T70" si="19">L52+Q52</f>
        <v>82</v>
      </c>
      <c r="R68" s="416">
        <f t="shared" si="19"/>
        <v>83</v>
      </c>
      <c r="S68" s="416">
        <f t="shared" si="19"/>
        <v>7</v>
      </c>
      <c r="T68" s="416">
        <f t="shared" si="19"/>
        <v>60</v>
      </c>
      <c r="U68" s="435">
        <f>SUM(Q68:T68)</f>
        <v>232</v>
      </c>
      <c r="Z68" s="435"/>
      <c r="AE68" s="435"/>
    </row>
    <row r="69" spans="1:31">
      <c r="A69" s="1534" t="s">
        <v>4</v>
      </c>
      <c r="B69" s="416">
        <f t="shared" si="17"/>
        <v>13</v>
      </c>
      <c r="C69" s="416">
        <f t="shared" si="17"/>
        <v>13</v>
      </c>
      <c r="D69" s="416">
        <f t="shared" si="17"/>
        <v>13</v>
      </c>
      <c r="E69" s="416">
        <f t="shared" si="17"/>
        <v>13</v>
      </c>
      <c r="F69" s="435">
        <f>SUM(B69:E69)</f>
        <v>52</v>
      </c>
      <c r="K69" s="435"/>
      <c r="L69" s="416">
        <f t="shared" si="18"/>
        <v>13</v>
      </c>
      <c r="M69" s="416">
        <f t="shared" si="18"/>
        <v>13</v>
      </c>
      <c r="N69" s="416">
        <f t="shared" si="18"/>
        <v>12</v>
      </c>
      <c r="O69" s="416">
        <f t="shared" si="18"/>
        <v>11</v>
      </c>
      <c r="P69" s="435">
        <f>SUM(L69:O69)</f>
        <v>49</v>
      </c>
      <c r="Q69" s="416">
        <f t="shared" si="19"/>
        <v>21</v>
      </c>
      <c r="R69" s="416">
        <f t="shared" si="19"/>
        <v>20</v>
      </c>
      <c r="S69" s="416">
        <f t="shared" si="19"/>
        <v>16</v>
      </c>
      <c r="T69" s="416">
        <f t="shared" si="19"/>
        <v>15</v>
      </c>
      <c r="U69" s="435">
        <f>SUM(Q69:T69)</f>
        <v>72</v>
      </c>
      <c r="Z69" s="435"/>
      <c r="AE69" s="435"/>
    </row>
    <row r="70" spans="1:31">
      <c r="A70" s="1533" t="s">
        <v>6</v>
      </c>
      <c r="B70" s="416">
        <f t="shared" si="17"/>
        <v>0</v>
      </c>
      <c r="C70" s="416">
        <f t="shared" si="17"/>
        <v>2</v>
      </c>
      <c r="D70" s="416">
        <f t="shared" si="17"/>
        <v>1</v>
      </c>
      <c r="E70" s="416">
        <f t="shared" si="17"/>
        <v>2</v>
      </c>
      <c r="F70" s="435">
        <f>SUM(B70:E70)</f>
        <v>5</v>
      </c>
      <c r="K70" s="435"/>
      <c r="L70" s="416">
        <f t="shared" si="18"/>
        <v>1</v>
      </c>
      <c r="M70" s="416">
        <f t="shared" si="18"/>
        <v>4</v>
      </c>
      <c r="N70" s="416">
        <f t="shared" si="18"/>
        <v>6</v>
      </c>
      <c r="O70" s="416">
        <f t="shared" si="18"/>
        <v>1</v>
      </c>
      <c r="P70" s="435">
        <f>SUM(L70:O70)</f>
        <v>12</v>
      </c>
      <c r="Q70" s="416">
        <f t="shared" si="19"/>
        <v>4</v>
      </c>
      <c r="R70" s="416">
        <f t="shared" si="19"/>
        <v>4</v>
      </c>
      <c r="S70" s="416">
        <f t="shared" si="19"/>
        <v>8</v>
      </c>
      <c r="T70" s="416">
        <f t="shared" si="19"/>
        <v>1</v>
      </c>
      <c r="U70" s="435">
        <f>SUM(Q70:T70)</f>
        <v>17</v>
      </c>
      <c r="Z70" s="435"/>
      <c r="AE70" s="435"/>
    </row>
    <row r="71" spans="1:31">
      <c r="A71" s="1533" t="s">
        <v>12</v>
      </c>
      <c r="B71" s="417">
        <f>B70/B69</f>
        <v>0</v>
      </c>
      <c r="C71" s="417">
        <f>C70/C69</f>
        <v>0.15384615384615385</v>
      </c>
      <c r="D71" s="417">
        <f>D70/D69</f>
        <v>7.6923076923076927E-2</v>
      </c>
      <c r="E71" s="417">
        <f>E70/E69</f>
        <v>0.15384615384615385</v>
      </c>
      <c r="F71" s="436">
        <f>F70/F69</f>
        <v>9.6153846153846159E-2</v>
      </c>
      <c r="K71" s="436"/>
      <c r="L71" s="417">
        <f t="shared" ref="L71:U71" si="20">L70/L69</f>
        <v>7.6923076923076927E-2</v>
      </c>
      <c r="M71" s="417">
        <f t="shared" si="20"/>
        <v>0.30769230769230771</v>
      </c>
      <c r="N71" s="417">
        <f t="shared" si="20"/>
        <v>0.5</v>
      </c>
      <c r="O71" s="417">
        <f t="shared" si="20"/>
        <v>9.0909090909090912E-2</v>
      </c>
      <c r="P71" s="436">
        <f t="shared" si="20"/>
        <v>0.24489795918367346</v>
      </c>
      <c r="Q71" s="417">
        <f t="shared" si="20"/>
        <v>0.19047619047619047</v>
      </c>
      <c r="R71" s="417">
        <f t="shared" si="20"/>
        <v>0.2</v>
      </c>
      <c r="S71" s="417">
        <f t="shared" si="20"/>
        <v>0.5</v>
      </c>
      <c r="T71" s="417">
        <f t="shared" si="20"/>
        <v>6.6666666666666666E-2</v>
      </c>
      <c r="U71" s="436">
        <f t="shared" si="20"/>
        <v>0.2361111111111111</v>
      </c>
      <c r="Z71" s="436"/>
      <c r="AE71" s="436"/>
    </row>
    <row r="72" spans="1:31">
      <c r="A72" s="1533" t="s">
        <v>5</v>
      </c>
      <c r="B72" s="419">
        <f>B68/B69</f>
        <v>7.7692307692307692</v>
      </c>
      <c r="C72" s="419">
        <f>C68/C69</f>
        <v>5.3076923076923075</v>
      </c>
      <c r="D72" s="419">
        <f>D68/D69</f>
        <v>5.8461538461538458</v>
      </c>
      <c r="E72" s="419">
        <f>E68/E69</f>
        <v>7</v>
      </c>
      <c r="F72" s="437">
        <f>F68/F69</f>
        <v>6.4807692307692308</v>
      </c>
      <c r="K72" s="437"/>
      <c r="L72" s="419">
        <f t="shared" ref="L72:U72" si="21">L68/L69</f>
        <v>4</v>
      </c>
      <c r="M72" s="419">
        <f t="shared" si="21"/>
        <v>4.3076923076923075</v>
      </c>
      <c r="N72" s="419">
        <f t="shared" si="21"/>
        <v>2</v>
      </c>
      <c r="O72" s="419">
        <f t="shared" si="21"/>
        <v>4.4545454545454541</v>
      </c>
      <c r="P72" s="437">
        <f t="shared" si="21"/>
        <v>3.693877551020408</v>
      </c>
      <c r="Q72" s="419">
        <f t="shared" si="21"/>
        <v>3.9047619047619047</v>
      </c>
      <c r="R72" s="419">
        <f t="shared" si="21"/>
        <v>4.1500000000000004</v>
      </c>
      <c r="S72" s="419">
        <f t="shared" si="21"/>
        <v>0.4375</v>
      </c>
      <c r="T72" s="419">
        <f t="shared" si="21"/>
        <v>4</v>
      </c>
      <c r="U72" s="437">
        <f t="shared" si="21"/>
        <v>3.2222222222222223</v>
      </c>
      <c r="Z72" s="437"/>
      <c r="AE72" s="437"/>
    </row>
    <row r="73" spans="1:31">
      <c r="A73" s="1533" t="s">
        <v>8</v>
      </c>
      <c r="B73" s="419">
        <f>B68/(B69-B70)</f>
        <v>7.7692307692307692</v>
      </c>
      <c r="C73" s="419">
        <f>C68/(C69-C70)</f>
        <v>6.2727272727272725</v>
      </c>
      <c r="D73" s="419">
        <f>D68/(D69-D70)</f>
        <v>6.333333333333333</v>
      </c>
      <c r="E73" s="419">
        <f>E68/(E69-E70)</f>
        <v>8.2727272727272734</v>
      </c>
      <c r="F73" s="437">
        <f>F68/(F69-F70)</f>
        <v>7.1702127659574471</v>
      </c>
      <c r="K73" s="437"/>
      <c r="L73" s="419">
        <f t="shared" ref="L73:U73" si="22">L68/(L69-L70)</f>
        <v>4.333333333333333</v>
      </c>
      <c r="M73" s="419">
        <f t="shared" si="22"/>
        <v>6.2222222222222223</v>
      </c>
      <c r="N73" s="419">
        <f t="shared" si="22"/>
        <v>4</v>
      </c>
      <c r="O73" s="419">
        <f t="shared" si="22"/>
        <v>4.9000000000000004</v>
      </c>
      <c r="P73" s="437">
        <f t="shared" si="22"/>
        <v>4.8918918918918921</v>
      </c>
      <c r="Q73" s="419">
        <f t="shared" si="22"/>
        <v>4.8235294117647056</v>
      </c>
      <c r="R73" s="419">
        <f t="shared" si="22"/>
        <v>5.1875</v>
      </c>
      <c r="S73" s="419">
        <f t="shared" si="22"/>
        <v>0.875</v>
      </c>
      <c r="T73" s="419">
        <f t="shared" si="22"/>
        <v>4.2857142857142856</v>
      </c>
      <c r="U73" s="437">
        <f t="shared" si="22"/>
        <v>4.2181818181818178</v>
      </c>
      <c r="Z73" s="437"/>
      <c r="AE73" s="437"/>
    </row>
    <row r="76" spans="1:31">
      <c r="F76" s="106"/>
      <c r="K76" s="106"/>
      <c r="L76" s="465"/>
      <c r="P76" s="106"/>
      <c r="Q76" s="465"/>
      <c r="U76" s="106"/>
      <c r="V76" s="465"/>
      <c r="Z76" s="106"/>
      <c r="AA76" s="465"/>
      <c r="AE76" s="106"/>
    </row>
    <row r="77" spans="1:31">
      <c r="F77" s="106"/>
      <c r="N77" s="465"/>
      <c r="P77" s="106"/>
      <c r="S77" s="465"/>
      <c r="U77" s="106"/>
      <c r="X77" s="465"/>
      <c r="Z77" s="106"/>
      <c r="AE77" s="106"/>
    </row>
    <row r="78" spans="1:31">
      <c r="F78" s="106"/>
      <c r="N78" s="465"/>
      <c r="P78" s="106"/>
      <c r="S78" s="465"/>
      <c r="U78" s="106"/>
      <c r="X78" s="465"/>
      <c r="Z78" s="106"/>
      <c r="AE78" s="106"/>
    </row>
    <row r="79" spans="1:31">
      <c r="F79" s="106"/>
      <c r="N79" s="465"/>
      <c r="P79" s="106"/>
      <c r="S79" s="465"/>
      <c r="U79" s="106"/>
      <c r="X79" s="465"/>
      <c r="Z79" s="106"/>
      <c r="AE79" s="106"/>
    </row>
    <row r="80" spans="1:31">
      <c r="F80" s="106"/>
      <c r="N80" s="465"/>
      <c r="P80" s="106"/>
      <c r="S80" s="465"/>
      <c r="U80" s="106"/>
      <c r="X80" s="465"/>
      <c r="Z80" s="106"/>
      <c r="AE80" s="106"/>
    </row>
    <row r="81" spans="6:31">
      <c r="F81" s="106"/>
      <c r="N81" s="465"/>
      <c r="P81" s="106"/>
      <c r="S81" s="465"/>
      <c r="U81" s="106"/>
      <c r="X81" s="465"/>
      <c r="Z81" s="106"/>
      <c r="AE81" s="106"/>
    </row>
    <row r="82" spans="6:31">
      <c r="F82" s="106"/>
      <c r="L82" s="465"/>
      <c r="P82" s="106"/>
      <c r="U82" s="106"/>
      <c r="Z82" s="106"/>
      <c r="AE82" s="106"/>
    </row>
    <row r="83" spans="6:31">
      <c r="F83" s="106"/>
      <c r="L83" s="465"/>
      <c r="P83" s="106"/>
      <c r="U83" s="106"/>
      <c r="Z83" s="106"/>
      <c r="AE83" s="106"/>
    </row>
    <row r="84" spans="6:31">
      <c r="F84" s="106"/>
      <c r="L84" s="465"/>
      <c r="P84" s="106"/>
      <c r="U84" s="106"/>
      <c r="Z84" s="106"/>
      <c r="AE84" s="106"/>
    </row>
    <row r="85" spans="6:31">
      <c r="F85" s="106"/>
      <c r="L85" s="465"/>
      <c r="P85" s="106"/>
      <c r="U85" s="106"/>
      <c r="Z85" s="106"/>
      <c r="AE85" s="106"/>
    </row>
    <row r="86" spans="6:31">
      <c r="F86" s="106"/>
      <c r="L86" s="465"/>
      <c r="P86" s="106"/>
      <c r="U86" s="106"/>
      <c r="Z86" s="106"/>
      <c r="AE86" s="106"/>
    </row>
    <row r="87" spans="6:31">
      <c r="F87" s="106"/>
      <c r="L87" s="465"/>
      <c r="P87" s="106"/>
      <c r="U87" s="106"/>
      <c r="Z87" s="106"/>
      <c r="AE87" s="106"/>
    </row>
    <row r="88" spans="6:31">
      <c r="F88" s="106"/>
      <c r="L88" s="465"/>
      <c r="P88" s="106"/>
      <c r="U88" s="106"/>
      <c r="Z88" s="106"/>
      <c r="AE88" s="106"/>
    </row>
    <row r="89" spans="6:31">
      <c r="F89" s="106"/>
      <c r="L89" s="465"/>
      <c r="P89" s="106"/>
      <c r="U89" s="106"/>
      <c r="Z89" s="106"/>
      <c r="AE89" s="106"/>
    </row>
    <row r="90" spans="6:31">
      <c r="F90" s="106"/>
      <c r="L90" s="465"/>
      <c r="P90" s="106"/>
      <c r="U90" s="106"/>
      <c r="Z90" s="106"/>
      <c r="AE90" s="106"/>
    </row>
    <row r="91" spans="6:31">
      <c r="F91" s="106"/>
      <c r="L91" s="465"/>
      <c r="P91" s="106"/>
      <c r="U91" s="106"/>
      <c r="Z91" s="106"/>
      <c r="AE91" s="106"/>
    </row>
    <row r="92" spans="6:31">
      <c r="F92" s="106"/>
      <c r="L92" s="465"/>
      <c r="P92" s="106"/>
      <c r="U92" s="106"/>
      <c r="Z92" s="106"/>
      <c r="AE92" s="106"/>
    </row>
    <row r="93" spans="6:31">
      <c r="F93" s="106"/>
      <c r="L93" s="465"/>
      <c r="P93" s="106"/>
      <c r="U93" s="106"/>
      <c r="Z93" s="106"/>
      <c r="AE93" s="106"/>
    </row>
    <row r="94" spans="6:31">
      <c r="F94" s="106"/>
      <c r="L94" s="465"/>
      <c r="P94" s="106"/>
      <c r="U94" s="106"/>
      <c r="Z94" s="106"/>
      <c r="AE94" s="106"/>
    </row>
    <row r="95" spans="6:31">
      <c r="F95" s="106"/>
      <c r="L95" s="465"/>
      <c r="P95" s="106"/>
      <c r="U95" s="106"/>
      <c r="Z95" s="106"/>
      <c r="AE95" s="106"/>
    </row>
    <row r="96" spans="6:31">
      <c r="F96" s="106"/>
      <c r="L96" s="465"/>
      <c r="P96" s="106"/>
      <c r="U96" s="106"/>
      <c r="Z96" s="106"/>
      <c r="AE96" s="106"/>
    </row>
    <row r="97" spans="6:31">
      <c r="F97" s="106"/>
      <c r="L97" s="465"/>
      <c r="P97" s="106"/>
      <c r="U97" s="106"/>
      <c r="Z97" s="106"/>
      <c r="AE97" s="106"/>
    </row>
    <row r="98" spans="6:31">
      <c r="F98" s="106"/>
      <c r="L98" s="465"/>
      <c r="P98" s="106"/>
      <c r="U98" s="106"/>
      <c r="Z98" s="106"/>
      <c r="AE98" s="106"/>
    </row>
    <row r="99" spans="6:31">
      <c r="F99" s="106"/>
      <c r="L99" s="465"/>
      <c r="P99" s="106"/>
      <c r="U99" s="106"/>
      <c r="Z99" s="106"/>
      <c r="AE99" s="106"/>
    </row>
    <row r="100" spans="6:31">
      <c r="F100" s="106"/>
      <c r="L100" s="465"/>
      <c r="P100" s="106"/>
      <c r="U100" s="106"/>
      <c r="Z100" s="106"/>
      <c r="AE100" s="106"/>
    </row>
    <row r="101" spans="6:31">
      <c r="F101" s="106"/>
      <c r="L101" s="465"/>
      <c r="P101" s="106"/>
      <c r="U101" s="106"/>
      <c r="Z101" s="106"/>
      <c r="AE101" s="106"/>
    </row>
    <row r="102" spans="6:31">
      <c r="F102" s="106"/>
      <c r="L102" s="465"/>
      <c r="P102" s="106"/>
      <c r="U102" s="106"/>
      <c r="Z102" s="106"/>
      <c r="AE102" s="106"/>
    </row>
    <row r="103" spans="6:31">
      <c r="F103" s="106"/>
      <c r="L103" s="465"/>
      <c r="P103" s="106"/>
      <c r="U103" s="106"/>
      <c r="Z103" s="106"/>
      <c r="AE103" s="106"/>
    </row>
    <row r="104" spans="6:31">
      <c r="F104" s="106"/>
      <c r="L104" s="465"/>
      <c r="P104" s="106"/>
      <c r="U104" s="106"/>
      <c r="Z104" s="106"/>
      <c r="AE104" s="106"/>
    </row>
    <row r="105" spans="6:31">
      <c r="F105" s="106"/>
      <c r="K105" s="112"/>
      <c r="L105" s="465"/>
      <c r="P105" s="106"/>
      <c r="U105" s="106"/>
      <c r="Z105" s="106"/>
      <c r="AE105" s="106"/>
    </row>
    <row r="106" spans="6:31">
      <c r="F106" s="106"/>
      <c r="K106" s="106"/>
      <c r="L106" s="465"/>
      <c r="P106" s="106"/>
      <c r="U106" s="106"/>
      <c r="Z106" s="106"/>
      <c r="AE106" s="106"/>
    </row>
    <row r="107" spans="6:31">
      <c r="F107" s="106"/>
      <c r="J107" s="112"/>
      <c r="K107" s="112"/>
      <c r="L107" s="465"/>
      <c r="P107" s="106"/>
      <c r="U107" s="106"/>
      <c r="Z107" s="106"/>
      <c r="AE107" s="106"/>
    </row>
    <row r="108" spans="6:31">
      <c r="F108" s="106"/>
      <c r="X108" s="465"/>
      <c r="Z108" s="106"/>
      <c r="AE108" s="106"/>
    </row>
    <row r="109" spans="6:31">
      <c r="F109" s="106"/>
      <c r="X109" s="465"/>
      <c r="Z109" s="106"/>
      <c r="AE109" s="106"/>
    </row>
    <row r="110" spans="6:31">
      <c r="F110" s="106"/>
      <c r="X110" s="465"/>
      <c r="Z110" s="106"/>
      <c r="AE110" s="106"/>
    </row>
    <row r="111" spans="6:31">
      <c r="F111" s="106"/>
      <c r="X111" s="465"/>
      <c r="Z111" s="106"/>
      <c r="AE111" s="106"/>
    </row>
    <row r="112" spans="6:31">
      <c r="F112" s="106"/>
      <c r="Z112" s="106"/>
      <c r="AB112" s="465"/>
      <c r="AE112" s="106"/>
    </row>
    <row r="113" spans="1:31">
      <c r="F113" s="106"/>
      <c r="Z113" s="106"/>
      <c r="AB113" s="465"/>
      <c r="AE113" s="106"/>
    </row>
    <row r="114" spans="1:31">
      <c r="A114" s="581"/>
      <c r="B114" s="112"/>
      <c r="C114" s="112"/>
      <c r="D114" s="112"/>
      <c r="E114" s="112"/>
      <c r="F114" s="112"/>
      <c r="G114" s="112"/>
      <c r="H114" s="112"/>
      <c r="Z114" s="112"/>
      <c r="AA114" s="112"/>
      <c r="AB114" s="112"/>
      <c r="AC114" s="112"/>
      <c r="AD114" s="112"/>
      <c r="AE114" s="112"/>
    </row>
  </sheetData>
  <mergeCells count="15">
    <mergeCell ref="AA1:AD1"/>
    <mergeCell ref="V1:Y1"/>
    <mergeCell ref="B51:E51"/>
    <mergeCell ref="G51:J51"/>
    <mergeCell ref="L51:O51"/>
    <mergeCell ref="Q51:T51"/>
    <mergeCell ref="G1:J1"/>
    <mergeCell ref="B1:E1"/>
    <mergeCell ref="Q1:T1"/>
    <mergeCell ref="L1:O1"/>
    <mergeCell ref="B59:E59"/>
    <mergeCell ref="G59:J59"/>
    <mergeCell ref="B67:E67"/>
    <mergeCell ref="L67:O67"/>
    <mergeCell ref="Q67:T67"/>
  </mergeCells>
  <pageMargins left="0.25" right="0.25" top="0.75" bottom="0.75" header="0.3" footer="0.3"/>
  <pageSetup paperSize="9" scale="63" orientation="landscape" horizontalDpi="4294967293" verticalDpi="0" r:id="rId1"/>
  <ignoredErrors>
    <ignoredError sqref="F44:F46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J75"/>
  <sheetViews>
    <sheetView zoomScaleNormal="100" workbookViewId="0">
      <pane ySplit="2" topLeftCell="A3" activePane="bottomLeft" state="frozen"/>
      <selection activeCell="B1" sqref="B1:E1"/>
      <selection pane="bottomLeft" activeCell="B1" sqref="B1:E1"/>
    </sheetView>
  </sheetViews>
  <sheetFormatPr baseColWidth="10" defaultRowHeight="15" outlineLevelRow="1"/>
  <cols>
    <col min="1" max="1" width="15.140625" style="106" bestFit="1" customWidth="1"/>
    <col min="2" max="2" width="7.5703125" style="106" bestFit="1" customWidth="1"/>
    <col min="3" max="3" width="6.7109375" style="106" customWidth="1"/>
    <col min="4" max="4" width="7.28515625" style="106" bestFit="1" customWidth="1"/>
    <col min="5" max="5" width="7.42578125" style="106" bestFit="1" customWidth="1"/>
    <col min="6" max="6" width="6.140625" style="106" bestFit="1" customWidth="1"/>
    <col min="7" max="7" width="7.5703125" style="106" bestFit="1" customWidth="1"/>
    <col min="8" max="8" width="6.7109375" style="106" customWidth="1"/>
    <col min="9" max="9" width="7.28515625" style="106" bestFit="1" customWidth="1"/>
    <col min="10" max="10" width="7.42578125" style="106" bestFit="1" customWidth="1"/>
    <col min="11" max="11" width="6.140625" style="106" bestFit="1" customWidth="1"/>
    <col min="12" max="12" width="7.5703125" style="106" bestFit="1" customWidth="1"/>
    <col min="13" max="13" width="6.7109375" style="106" customWidth="1"/>
    <col min="14" max="14" width="7.28515625" style="106" bestFit="1" customWidth="1"/>
    <col min="15" max="15" width="7.42578125" style="106" bestFit="1" customWidth="1"/>
    <col min="16" max="16" width="6.140625" style="106" bestFit="1" customWidth="1"/>
    <col min="17" max="17" width="7.5703125" style="106" bestFit="1" customWidth="1"/>
    <col min="18" max="18" width="6.7109375" style="106" customWidth="1"/>
    <col min="19" max="19" width="7.28515625" style="106" bestFit="1" customWidth="1"/>
    <col min="20" max="20" width="7.42578125" style="106" bestFit="1" customWidth="1"/>
    <col min="21" max="21" width="6.140625" style="106" bestFit="1" customWidth="1"/>
    <col min="22" max="22" width="7.5703125" style="106" bestFit="1" customWidth="1"/>
    <col min="23" max="23" width="6.7109375" style="106" customWidth="1"/>
    <col min="24" max="24" width="7.28515625" style="106" bestFit="1" customWidth="1"/>
    <col min="25" max="25" width="7.42578125" style="106" bestFit="1" customWidth="1"/>
    <col min="26" max="26" width="6.140625" style="106" bestFit="1" customWidth="1"/>
    <col min="27" max="27" width="7.5703125" style="106" bestFit="1" customWidth="1"/>
    <col min="28" max="28" width="6.7109375" style="106" customWidth="1"/>
    <col min="29" max="29" width="7.28515625" style="106" bestFit="1" customWidth="1"/>
    <col min="30" max="30" width="7.42578125" style="106" bestFit="1" customWidth="1"/>
    <col min="31" max="31" width="6.140625" style="106" bestFit="1" customWidth="1"/>
    <col min="32" max="32" width="7.5703125" style="106" bestFit="1" customWidth="1"/>
    <col min="33" max="33" width="6.7109375" style="106" customWidth="1"/>
    <col min="34" max="34" width="7.28515625" style="106" bestFit="1" customWidth="1"/>
    <col min="35" max="35" width="7.42578125" style="106" bestFit="1" customWidth="1"/>
    <col min="36" max="36" width="6.140625" style="106" bestFit="1" customWidth="1"/>
    <col min="37" max="16384" width="11.42578125" style="106"/>
  </cols>
  <sheetData>
    <row r="1" spans="1:36" ht="15" customHeight="1">
      <c r="A1" s="487"/>
      <c r="B1" s="1554" t="s">
        <v>81</v>
      </c>
      <c r="C1" s="1554"/>
      <c r="D1" s="1554"/>
      <c r="E1" s="1554"/>
      <c r="G1" s="1555" t="s">
        <v>82</v>
      </c>
      <c r="H1" s="1555"/>
      <c r="I1" s="1555"/>
      <c r="J1" s="1555"/>
      <c r="L1" s="1556" t="s">
        <v>83</v>
      </c>
      <c r="M1" s="1556"/>
      <c r="N1" s="1556"/>
      <c r="O1" s="1556"/>
      <c r="Q1" s="1557" t="s">
        <v>84</v>
      </c>
      <c r="R1" s="1557"/>
      <c r="S1" s="1557"/>
      <c r="T1" s="1557"/>
      <c r="V1" s="1555" t="s">
        <v>87</v>
      </c>
      <c r="W1" s="1555"/>
      <c r="X1" s="1555"/>
      <c r="Y1" s="1555"/>
      <c r="AA1" s="1556" t="s">
        <v>86</v>
      </c>
      <c r="AB1" s="1556"/>
      <c r="AC1" s="1556"/>
      <c r="AD1" s="1556"/>
      <c r="AF1" s="1557" t="s">
        <v>85</v>
      </c>
      <c r="AG1" s="1557"/>
      <c r="AH1" s="1557"/>
      <c r="AI1" s="1557"/>
    </row>
    <row r="2" spans="1:36" s="517" customFormat="1" ht="14.25" collapsed="1">
      <c r="A2" s="522"/>
      <c r="B2" s="1525" t="s">
        <v>0</v>
      </c>
      <c r="C2" s="532" t="s">
        <v>56</v>
      </c>
      <c r="D2" s="600" t="s">
        <v>1</v>
      </c>
      <c r="E2" s="1526" t="s">
        <v>53</v>
      </c>
      <c r="F2" s="1531"/>
      <c r="G2" s="1525" t="s">
        <v>0</v>
      </c>
      <c r="H2" s="532" t="s">
        <v>56</v>
      </c>
      <c r="I2" s="600" t="s">
        <v>1</v>
      </c>
      <c r="J2" s="1526" t="s">
        <v>53</v>
      </c>
      <c r="K2" s="1531"/>
      <c r="L2" s="1525" t="s">
        <v>0</v>
      </c>
      <c r="M2" s="532" t="s">
        <v>56</v>
      </c>
      <c r="N2" s="600" t="s">
        <v>1</v>
      </c>
      <c r="O2" s="1526" t="s">
        <v>53</v>
      </c>
      <c r="P2" s="1531"/>
      <c r="Q2" s="1525" t="s">
        <v>0</v>
      </c>
      <c r="R2" s="532" t="s">
        <v>56</v>
      </c>
      <c r="S2" s="600" t="s">
        <v>1</v>
      </c>
      <c r="T2" s="1526" t="s">
        <v>53</v>
      </c>
      <c r="V2" s="1525" t="s">
        <v>53</v>
      </c>
      <c r="W2" s="532" t="s">
        <v>0</v>
      </c>
      <c r="X2" s="600" t="s">
        <v>56</v>
      </c>
      <c r="Y2" s="1526" t="s">
        <v>1</v>
      </c>
      <c r="Z2" s="1532"/>
      <c r="AA2" s="1525" t="s">
        <v>53</v>
      </c>
      <c r="AB2" s="532" t="s">
        <v>0</v>
      </c>
      <c r="AC2" s="600" t="s">
        <v>56</v>
      </c>
      <c r="AD2" s="1526" t="s">
        <v>1</v>
      </c>
      <c r="AE2" s="1532"/>
      <c r="AF2" s="1525" t="s">
        <v>53</v>
      </c>
      <c r="AG2" s="532" t="s">
        <v>0</v>
      </c>
      <c r="AH2" s="600" t="s">
        <v>56</v>
      </c>
      <c r="AI2" s="1526" t="s">
        <v>1</v>
      </c>
      <c r="AJ2" s="1532"/>
    </row>
    <row r="3" spans="1:36" hidden="1" outlineLevel="1">
      <c r="A3" s="581">
        <v>12</v>
      </c>
      <c r="B3" s="422">
        <v>12</v>
      </c>
      <c r="C3" s="117"/>
      <c r="D3" s="117"/>
      <c r="E3" s="107"/>
      <c r="F3" s="112">
        <v>24</v>
      </c>
      <c r="G3" s="117"/>
      <c r="H3" s="423">
        <v>12</v>
      </c>
      <c r="I3" s="117"/>
      <c r="J3" s="117"/>
      <c r="K3" s="581">
        <v>39</v>
      </c>
      <c r="L3" s="117"/>
      <c r="M3" s="108"/>
      <c r="N3" s="117"/>
      <c r="O3" s="428">
        <v>3</v>
      </c>
      <c r="P3" s="106">
        <v>41</v>
      </c>
      <c r="Q3" s="430">
        <v>2</v>
      </c>
      <c r="R3" s="117"/>
      <c r="S3" s="117"/>
      <c r="T3" s="107"/>
      <c r="U3" s="112">
        <v>3</v>
      </c>
      <c r="V3" s="423">
        <v>3</v>
      </c>
      <c r="W3" s="117"/>
      <c r="X3" s="117"/>
      <c r="Y3" s="107"/>
      <c r="Z3" s="581">
        <v>31</v>
      </c>
      <c r="AA3" s="108">
        <v>3</v>
      </c>
      <c r="AB3" s="117"/>
      <c r="AC3" s="428"/>
      <c r="AD3" s="107"/>
      <c r="AE3" s="112"/>
      <c r="AF3" s="581">
        <v>3</v>
      </c>
      <c r="AG3" s="581"/>
      <c r="AH3" s="581"/>
      <c r="AI3" s="581"/>
      <c r="AJ3" s="581"/>
    </row>
    <row r="4" spans="1:36" hidden="1" outlineLevel="1">
      <c r="A4" s="581"/>
      <c r="F4" s="112">
        <v>36</v>
      </c>
      <c r="G4" s="108"/>
      <c r="H4" s="117"/>
      <c r="I4" s="427">
        <v>12</v>
      </c>
      <c r="J4" s="107"/>
      <c r="K4" s="502"/>
      <c r="L4" s="582"/>
      <c r="M4" s="583"/>
      <c r="N4" s="582"/>
      <c r="O4" s="583"/>
      <c r="P4" s="106">
        <v>43</v>
      </c>
      <c r="Q4" s="117"/>
      <c r="R4" s="426">
        <v>2</v>
      </c>
      <c r="S4" s="117"/>
      <c r="T4" s="117"/>
      <c r="U4" s="112">
        <v>3</v>
      </c>
      <c r="V4" s="117"/>
      <c r="W4" s="423" t="s">
        <v>2</v>
      </c>
      <c r="X4" s="117"/>
      <c r="Y4" s="117"/>
      <c r="Z4" s="581">
        <v>36</v>
      </c>
      <c r="AA4" s="117"/>
      <c r="AB4" s="108" t="s">
        <v>2</v>
      </c>
      <c r="AC4" s="117"/>
      <c r="AD4" s="429"/>
      <c r="AE4" s="112"/>
      <c r="AG4" s="106" t="s">
        <v>2</v>
      </c>
    </row>
    <row r="5" spans="1:36" hidden="1" outlineLevel="1">
      <c r="A5" s="581"/>
      <c r="K5" s="502"/>
      <c r="L5" s="582"/>
      <c r="M5" s="583"/>
      <c r="N5" s="582"/>
      <c r="O5" s="583"/>
      <c r="P5" s="106">
        <v>50</v>
      </c>
      <c r="Q5" s="108"/>
      <c r="R5" s="117"/>
      <c r="S5" s="425">
        <v>7</v>
      </c>
      <c r="T5" s="107"/>
      <c r="U5" s="112">
        <v>9</v>
      </c>
      <c r="V5" s="108"/>
      <c r="W5" s="117"/>
      <c r="X5" s="427">
        <v>6</v>
      </c>
      <c r="Y5" s="107"/>
      <c r="Z5" s="112"/>
      <c r="AA5" s="581"/>
      <c r="AB5" s="581"/>
      <c r="AC5" s="581">
        <v>6</v>
      </c>
      <c r="AD5" s="581"/>
      <c r="AE5" s="112"/>
      <c r="AH5" s="106">
        <v>6</v>
      </c>
    </row>
    <row r="6" spans="1:36" hidden="1" outlineLevel="1">
      <c r="A6" s="581"/>
      <c r="F6" s="502"/>
      <c r="G6" s="502"/>
      <c r="H6" s="502"/>
      <c r="I6" s="502"/>
      <c r="J6" s="502"/>
      <c r="K6" s="3"/>
      <c r="L6" s="124"/>
      <c r="M6" s="125"/>
      <c r="N6" s="124"/>
      <c r="O6" s="125"/>
      <c r="P6" s="3"/>
      <c r="Q6" s="502"/>
      <c r="R6" s="502"/>
      <c r="S6" s="502"/>
      <c r="T6" s="502"/>
      <c r="U6" s="112">
        <v>18</v>
      </c>
      <c r="V6" s="117"/>
      <c r="W6" s="108"/>
      <c r="X6" s="117"/>
      <c r="Y6" s="427">
        <v>9</v>
      </c>
      <c r="Z6" s="112"/>
      <c r="AA6" s="581"/>
      <c r="AB6" s="581"/>
      <c r="AC6" s="581"/>
      <c r="AD6" s="581">
        <v>9</v>
      </c>
      <c r="AI6" s="106">
        <v>9</v>
      </c>
    </row>
    <row r="7" spans="1:36" hidden="1" outlineLevel="1">
      <c r="A7" s="581"/>
      <c r="U7" s="106">
        <v>23</v>
      </c>
      <c r="V7" s="423"/>
      <c r="W7" s="117"/>
      <c r="X7" s="117"/>
      <c r="Y7" s="107"/>
    </row>
    <row r="8" spans="1:36" hidden="1" outlineLevel="1">
      <c r="A8" s="581"/>
      <c r="U8" s="581">
        <v>31</v>
      </c>
      <c r="V8" s="117">
        <v>4</v>
      </c>
      <c r="W8" s="423"/>
      <c r="X8" s="117"/>
      <c r="Y8" s="117"/>
      <c r="AA8" s="106">
        <v>4</v>
      </c>
      <c r="AF8" s="106">
        <v>4</v>
      </c>
    </row>
    <row r="9" spans="1:36" ht="5.0999999999999996" hidden="1" customHeight="1" outlineLevel="1">
      <c r="W9" s="106">
        <v>7</v>
      </c>
      <c r="AB9" s="106">
        <v>7</v>
      </c>
      <c r="AG9" s="106">
        <v>7</v>
      </c>
    </row>
    <row r="10" spans="1:36" hidden="1" outlineLevel="1">
      <c r="A10" s="581">
        <v>12</v>
      </c>
      <c r="B10" s="422">
        <v>12</v>
      </c>
      <c r="C10" s="117"/>
      <c r="D10" s="117"/>
      <c r="E10" s="107"/>
      <c r="F10" s="112">
        <v>12</v>
      </c>
      <c r="G10" s="117"/>
      <c r="H10" s="423" t="s">
        <v>2</v>
      </c>
      <c r="I10" s="117"/>
      <c r="J10" s="117"/>
      <c r="K10" s="106">
        <v>37</v>
      </c>
      <c r="L10" s="117"/>
      <c r="M10" s="428">
        <v>6</v>
      </c>
      <c r="N10" s="117"/>
      <c r="O10" s="117"/>
      <c r="P10" s="581">
        <v>45</v>
      </c>
      <c r="Q10" s="117"/>
      <c r="R10" s="108"/>
      <c r="S10" s="117"/>
      <c r="T10" s="425">
        <v>5</v>
      </c>
      <c r="U10" s="112">
        <v>4</v>
      </c>
      <c r="V10" s="423"/>
      <c r="W10" s="117"/>
      <c r="X10" s="117">
        <v>3</v>
      </c>
      <c r="Y10" s="107"/>
      <c r="Z10" s="581">
        <v>30</v>
      </c>
      <c r="AA10" s="108"/>
      <c r="AB10" s="117"/>
      <c r="AC10" s="428">
        <v>3</v>
      </c>
      <c r="AD10" s="107"/>
      <c r="AE10" s="106">
        <v>44</v>
      </c>
      <c r="AF10" s="117"/>
      <c r="AG10" s="425"/>
      <c r="AH10" s="117">
        <v>3</v>
      </c>
      <c r="AI10" s="117"/>
    </row>
    <row r="11" spans="1:36" hidden="1" outlineLevel="1">
      <c r="A11" s="581"/>
      <c r="F11" s="112">
        <v>16</v>
      </c>
      <c r="G11" s="108"/>
      <c r="H11" s="117"/>
      <c r="I11" s="427">
        <v>4</v>
      </c>
      <c r="J11" s="107"/>
      <c r="K11" s="581">
        <v>40</v>
      </c>
      <c r="L11" s="108"/>
      <c r="M11" s="117"/>
      <c r="N11" s="428">
        <v>3</v>
      </c>
      <c r="O11" s="107"/>
      <c r="P11" s="106">
        <v>47</v>
      </c>
      <c r="Q11" s="430">
        <v>2</v>
      </c>
      <c r="R11" s="117"/>
      <c r="S11" s="117"/>
      <c r="T11" s="107"/>
      <c r="U11" s="112">
        <v>11</v>
      </c>
      <c r="V11" s="117"/>
      <c r="W11" s="423"/>
      <c r="X11" s="117"/>
      <c r="Y11" s="117">
        <v>8</v>
      </c>
      <c r="Z11" s="581">
        <v>34</v>
      </c>
      <c r="AA11" s="117"/>
      <c r="AB11" s="108"/>
      <c r="AC11" s="117"/>
      <c r="AD11" s="431">
        <v>8</v>
      </c>
      <c r="AE11" s="106">
        <v>25</v>
      </c>
      <c r="AF11" s="108"/>
      <c r="AG11" s="117"/>
      <c r="AH11" s="425"/>
      <c r="AI11" s="107">
        <v>8</v>
      </c>
    </row>
    <row r="12" spans="1:36" hidden="1" outlineLevel="1">
      <c r="A12" s="581"/>
      <c r="F12" s="112">
        <v>25</v>
      </c>
      <c r="G12" s="117"/>
      <c r="H12" s="108"/>
      <c r="I12" s="117"/>
      <c r="J12" s="427">
        <v>9</v>
      </c>
      <c r="P12" s="106">
        <v>50</v>
      </c>
      <c r="Q12" s="117"/>
      <c r="R12" s="426">
        <v>3</v>
      </c>
      <c r="S12" s="117"/>
      <c r="T12" s="117"/>
      <c r="U12" s="112">
        <v>14</v>
      </c>
      <c r="V12" s="108"/>
      <c r="W12" s="117"/>
      <c r="X12" s="427"/>
      <c r="Y12" s="107"/>
      <c r="Z12" s="581">
        <v>41</v>
      </c>
      <c r="AA12" s="428"/>
      <c r="AB12" s="108"/>
      <c r="AC12" s="117"/>
      <c r="AD12" s="117"/>
    </row>
    <row r="13" spans="1:36" hidden="1" outlineLevel="1">
      <c r="A13" s="581"/>
      <c r="F13" s="112">
        <v>31</v>
      </c>
      <c r="G13" s="423">
        <v>6</v>
      </c>
      <c r="H13" s="117"/>
      <c r="I13" s="117"/>
      <c r="J13" s="107"/>
      <c r="U13" s="112">
        <v>22</v>
      </c>
      <c r="V13" s="117"/>
      <c r="W13" s="108"/>
      <c r="X13" s="117"/>
      <c r="Y13" s="427">
        <v>8</v>
      </c>
    </row>
    <row r="14" spans="1:36" hidden="1" outlineLevel="1">
      <c r="A14" s="581"/>
      <c r="U14" s="106">
        <v>22</v>
      </c>
      <c r="V14" s="423" t="s">
        <v>2</v>
      </c>
      <c r="W14" s="117"/>
      <c r="X14" s="117"/>
      <c r="Y14" s="107"/>
    </row>
    <row r="15" spans="1:36" hidden="1" outlineLevel="1">
      <c r="A15" s="581"/>
      <c r="U15" s="581">
        <v>30</v>
      </c>
      <c r="V15" s="117"/>
      <c r="W15" s="423">
        <v>8</v>
      </c>
      <c r="X15" s="117"/>
      <c r="Y15" s="117"/>
    </row>
    <row r="16" spans="1:36" ht="5.0999999999999996" hidden="1" customHeight="1" outlineLevel="1"/>
    <row r="17" spans="1:35" hidden="1" outlineLevel="1">
      <c r="A17" s="581"/>
      <c r="Z17" s="581">
        <v>27</v>
      </c>
      <c r="AA17" s="117"/>
      <c r="AB17" s="108"/>
      <c r="AC17" s="117"/>
      <c r="AD17" s="431">
        <v>2</v>
      </c>
      <c r="AE17" s="581">
        <v>41</v>
      </c>
      <c r="AF17" s="117"/>
      <c r="AG17" s="108"/>
      <c r="AH17" s="117"/>
      <c r="AI17" s="425">
        <v>2</v>
      </c>
    </row>
    <row r="18" spans="1:35" hidden="1" outlineLevel="1">
      <c r="A18" s="581"/>
      <c r="Z18" s="581">
        <v>27</v>
      </c>
      <c r="AA18" s="428" t="s">
        <v>2</v>
      </c>
      <c r="AB18" s="108"/>
      <c r="AC18" s="117"/>
      <c r="AD18" s="117"/>
      <c r="AE18" s="106">
        <v>50</v>
      </c>
      <c r="AF18" s="430">
        <v>9</v>
      </c>
      <c r="AG18" s="117"/>
      <c r="AH18" s="117"/>
      <c r="AI18" s="107"/>
    </row>
    <row r="19" spans="1:35" hidden="1" outlineLevel="1">
      <c r="A19" s="581"/>
      <c r="Z19" s="581">
        <v>37</v>
      </c>
      <c r="AA19" s="117"/>
      <c r="AB19" s="424">
        <v>10</v>
      </c>
      <c r="AC19" s="117"/>
      <c r="AD19" s="117"/>
    </row>
    <row r="20" spans="1:35" hidden="1" outlineLevel="1">
      <c r="A20" s="581"/>
      <c r="Z20" s="581">
        <v>39</v>
      </c>
      <c r="AA20" s="108"/>
      <c r="AB20" s="117"/>
      <c r="AC20" s="428">
        <v>2</v>
      </c>
      <c r="AD20" s="107"/>
    </row>
    <row r="21" spans="1:35" s="1528" customFormat="1" ht="5.0999999999999996" hidden="1" customHeight="1" outlineLevel="1"/>
    <row r="22" spans="1:35" hidden="1" outlineLevel="1">
      <c r="A22" s="581">
        <v>11</v>
      </c>
      <c r="B22" s="422">
        <v>11</v>
      </c>
      <c r="C22" s="117"/>
      <c r="D22" s="117"/>
      <c r="E22" s="107"/>
      <c r="F22" s="112">
        <v>13</v>
      </c>
      <c r="G22" s="117"/>
      <c r="H22" s="423">
        <v>2</v>
      </c>
      <c r="I22" s="117"/>
      <c r="J22" s="117"/>
      <c r="K22" s="581">
        <v>35</v>
      </c>
      <c r="L22" s="117"/>
      <c r="M22" s="424" t="s">
        <v>2</v>
      </c>
      <c r="N22" s="117"/>
      <c r="O22" s="117"/>
      <c r="U22" s="112">
        <v>8</v>
      </c>
      <c r="V22" s="423">
        <v>8</v>
      </c>
      <c r="W22" s="117"/>
      <c r="X22" s="117"/>
      <c r="Y22" s="107"/>
      <c r="Z22" s="112"/>
      <c r="AA22" s="581"/>
      <c r="AB22" s="581"/>
      <c r="AC22" s="581"/>
      <c r="AD22" s="581"/>
      <c r="AE22" s="581"/>
      <c r="AF22" s="581"/>
      <c r="AG22" s="581"/>
      <c r="AH22" s="581"/>
      <c r="AI22" s="581"/>
    </row>
    <row r="23" spans="1:35" hidden="1" outlineLevel="1">
      <c r="A23" s="581"/>
      <c r="F23" s="112">
        <v>17</v>
      </c>
      <c r="G23" s="108"/>
      <c r="H23" s="117"/>
      <c r="I23" s="427">
        <v>4</v>
      </c>
      <c r="J23" s="107"/>
      <c r="K23" s="581">
        <v>35</v>
      </c>
      <c r="L23" s="108"/>
      <c r="M23" s="117"/>
      <c r="N23" s="428" t="s">
        <v>2</v>
      </c>
      <c r="O23" s="107"/>
      <c r="U23" s="112">
        <v>16</v>
      </c>
      <c r="V23" s="117"/>
      <c r="W23" s="423">
        <v>8</v>
      </c>
      <c r="X23" s="117"/>
      <c r="Y23" s="117"/>
    </row>
    <row r="24" spans="1:35" hidden="1" outlineLevel="1">
      <c r="A24" s="581"/>
      <c r="F24" s="112">
        <v>25</v>
      </c>
      <c r="G24" s="117"/>
      <c r="H24" s="108"/>
      <c r="I24" s="117"/>
      <c r="J24" s="427">
        <v>8</v>
      </c>
      <c r="K24" s="581">
        <v>38</v>
      </c>
      <c r="L24" s="117"/>
      <c r="M24" s="108"/>
      <c r="N24" s="117"/>
      <c r="O24" s="428">
        <v>3</v>
      </c>
      <c r="U24" s="112">
        <v>21</v>
      </c>
      <c r="V24" s="108"/>
      <c r="W24" s="117"/>
      <c r="X24" s="427">
        <v>5</v>
      </c>
      <c r="Y24" s="107"/>
    </row>
    <row r="25" spans="1:35" hidden="1" outlineLevel="1">
      <c r="A25" s="581"/>
      <c r="F25" s="581">
        <v>35</v>
      </c>
      <c r="G25" s="423">
        <v>10</v>
      </c>
      <c r="H25" s="117"/>
      <c r="I25" s="117"/>
      <c r="J25" s="107"/>
      <c r="U25" s="581">
        <v>21</v>
      </c>
      <c r="V25" s="117"/>
      <c r="W25" s="108"/>
      <c r="X25" s="117"/>
      <c r="Y25" s="427" t="s">
        <v>2</v>
      </c>
    </row>
    <row r="26" spans="1:35" hidden="1" outlineLevel="1">
      <c r="A26" s="581"/>
      <c r="F26" s="434"/>
      <c r="G26" s="434"/>
      <c r="H26" s="434"/>
      <c r="I26" s="434"/>
      <c r="J26" s="628"/>
      <c r="U26" s="106">
        <v>24</v>
      </c>
      <c r="V26" s="423">
        <v>3</v>
      </c>
      <c r="W26" s="117"/>
      <c r="X26" s="117"/>
      <c r="Y26" s="107"/>
    </row>
    <row r="27" spans="1:35" hidden="1" outlineLevel="1">
      <c r="A27" s="581"/>
      <c r="F27" s="434"/>
      <c r="G27" s="434"/>
      <c r="H27" s="434"/>
      <c r="I27" s="434"/>
      <c r="J27" s="628"/>
      <c r="U27" s="581">
        <v>33</v>
      </c>
      <c r="V27" s="117"/>
      <c r="W27" s="423">
        <v>9</v>
      </c>
      <c r="X27" s="117"/>
      <c r="Y27" s="117"/>
    </row>
    <row r="28" spans="1:35" ht="5.0999999999999996" hidden="1" customHeight="1" outlineLevel="1"/>
    <row r="29" spans="1:35" hidden="1" outlineLevel="1">
      <c r="A29" s="581">
        <v>9</v>
      </c>
      <c r="B29" s="422">
        <v>9</v>
      </c>
      <c r="C29" s="117"/>
      <c r="D29" s="117"/>
      <c r="E29" s="107"/>
      <c r="F29" s="112">
        <v>17</v>
      </c>
      <c r="G29" s="117"/>
      <c r="H29" s="423">
        <v>8</v>
      </c>
      <c r="I29" s="117"/>
      <c r="J29" s="117"/>
      <c r="K29" s="581">
        <v>29</v>
      </c>
      <c r="L29" s="108"/>
      <c r="M29" s="117"/>
      <c r="N29" s="428">
        <v>2</v>
      </c>
      <c r="O29" s="107"/>
      <c r="P29" s="106">
        <v>44</v>
      </c>
      <c r="Q29" s="117"/>
      <c r="R29" s="426">
        <v>3</v>
      </c>
      <c r="S29" s="117"/>
      <c r="T29" s="117"/>
      <c r="U29" s="112">
        <v>5</v>
      </c>
      <c r="V29" s="423">
        <v>5</v>
      </c>
      <c r="W29" s="117"/>
      <c r="X29" s="117"/>
      <c r="Y29" s="107"/>
      <c r="Z29" s="581">
        <v>31</v>
      </c>
      <c r="AA29" s="117"/>
      <c r="AB29" s="108"/>
      <c r="AC29" s="117"/>
      <c r="AD29" s="431">
        <v>3</v>
      </c>
      <c r="AE29" s="106">
        <v>41</v>
      </c>
      <c r="AF29" s="117"/>
      <c r="AG29" s="425">
        <v>2</v>
      </c>
      <c r="AH29" s="117"/>
      <c r="AI29" s="117"/>
    </row>
    <row r="30" spans="1:35" hidden="1" outlineLevel="1">
      <c r="A30" s="581"/>
      <c r="F30" s="112">
        <v>23</v>
      </c>
      <c r="G30" s="108"/>
      <c r="H30" s="117"/>
      <c r="I30" s="427">
        <v>6</v>
      </c>
      <c r="J30" s="107"/>
      <c r="K30" s="581">
        <v>37</v>
      </c>
      <c r="L30" s="117"/>
      <c r="M30" s="108"/>
      <c r="N30" s="117"/>
      <c r="O30" s="428">
        <v>8</v>
      </c>
      <c r="P30" s="581">
        <v>44</v>
      </c>
      <c r="Q30" s="108"/>
      <c r="R30" s="117"/>
      <c r="S30" s="425" t="s">
        <v>2</v>
      </c>
      <c r="T30" s="107"/>
      <c r="U30" s="112">
        <v>5</v>
      </c>
      <c r="V30" s="117"/>
      <c r="W30" s="423" t="s">
        <v>2</v>
      </c>
      <c r="X30" s="117"/>
      <c r="Y30" s="117"/>
      <c r="Z30" s="581">
        <v>39</v>
      </c>
      <c r="AA30" s="428">
        <v>8</v>
      </c>
      <c r="AB30" s="108"/>
      <c r="AC30" s="117"/>
      <c r="AD30" s="117"/>
    </row>
    <row r="31" spans="1:35" hidden="1" outlineLevel="1">
      <c r="A31" s="581"/>
      <c r="F31" s="106">
        <v>23</v>
      </c>
      <c r="G31" s="117"/>
      <c r="H31" s="108"/>
      <c r="I31" s="117"/>
      <c r="J31" s="427" t="s">
        <v>2</v>
      </c>
      <c r="K31" s="581">
        <v>41</v>
      </c>
      <c r="L31" s="431">
        <v>4</v>
      </c>
      <c r="M31" s="108"/>
      <c r="N31" s="117"/>
      <c r="O31" s="117"/>
      <c r="P31" s="581">
        <v>50</v>
      </c>
      <c r="Q31" s="117"/>
      <c r="R31" s="108"/>
      <c r="S31" s="117"/>
      <c r="T31" s="425">
        <v>6</v>
      </c>
      <c r="U31" s="112">
        <v>9</v>
      </c>
      <c r="V31" s="108"/>
      <c r="W31" s="117"/>
      <c r="X31" s="427">
        <v>4</v>
      </c>
      <c r="Y31" s="107"/>
    </row>
    <row r="32" spans="1:35" hidden="1" outlineLevel="1">
      <c r="A32" s="581"/>
      <c r="F32" s="581">
        <v>25</v>
      </c>
      <c r="G32" s="423">
        <v>2</v>
      </c>
      <c r="H32" s="117"/>
      <c r="I32" s="117"/>
      <c r="J32" s="107"/>
      <c r="U32" s="581">
        <v>20</v>
      </c>
      <c r="V32" s="117"/>
      <c r="W32" s="108"/>
      <c r="X32" s="117"/>
      <c r="Y32" s="427">
        <v>11</v>
      </c>
    </row>
    <row r="33" spans="1:35" hidden="1" outlineLevel="1">
      <c r="A33" s="581"/>
      <c r="F33" s="581">
        <v>27</v>
      </c>
      <c r="G33" s="117"/>
      <c r="H33" s="423">
        <v>2</v>
      </c>
      <c r="I33" s="117"/>
      <c r="J33" s="117"/>
      <c r="U33" s="581">
        <v>22</v>
      </c>
      <c r="V33" s="423">
        <v>2</v>
      </c>
      <c r="W33" s="117"/>
      <c r="X33" s="117"/>
      <c r="Y33" s="107"/>
    </row>
    <row r="34" spans="1:35" hidden="1" outlineLevel="1">
      <c r="A34" s="581"/>
      <c r="F34" s="581"/>
      <c r="G34" s="434"/>
      <c r="H34" s="1530"/>
      <c r="I34" s="434"/>
      <c r="J34" s="434"/>
      <c r="U34" s="581">
        <v>22</v>
      </c>
      <c r="V34" s="117"/>
      <c r="W34" s="423" t="s">
        <v>2</v>
      </c>
      <c r="X34" s="117"/>
      <c r="Y34" s="107"/>
    </row>
    <row r="35" spans="1:35" hidden="1" outlineLevel="1">
      <c r="A35" s="581"/>
      <c r="F35" s="581"/>
      <c r="G35" s="434"/>
      <c r="H35" s="434"/>
      <c r="I35" s="434"/>
      <c r="J35" s="434"/>
      <c r="U35" s="581">
        <v>28</v>
      </c>
      <c r="V35" s="108"/>
      <c r="W35" s="117"/>
      <c r="X35" s="427">
        <v>6</v>
      </c>
      <c r="Y35" s="117"/>
    </row>
    <row r="36" spans="1:35" s="1528" customFormat="1" ht="5.0999999999999996" hidden="1" customHeight="1" outlineLevel="1"/>
    <row r="37" spans="1:35" hidden="1" outlineLevel="1">
      <c r="A37" s="581">
        <v>10</v>
      </c>
      <c r="B37" s="422">
        <v>10</v>
      </c>
      <c r="C37" s="117"/>
      <c r="D37" s="117"/>
      <c r="E37" s="107"/>
      <c r="F37" s="112">
        <v>10</v>
      </c>
      <c r="G37" s="117"/>
      <c r="H37" s="423" t="s">
        <v>2</v>
      </c>
      <c r="I37" s="117"/>
      <c r="J37" s="117"/>
      <c r="K37" s="581">
        <v>34</v>
      </c>
      <c r="L37" s="431">
        <v>3</v>
      </c>
      <c r="M37" s="108"/>
      <c r="N37" s="117"/>
      <c r="O37" s="117"/>
      <c r="P37" s="112">
        <v>48</v>
      </c>
      <c r="Q37" s="108"/>
      <c r="R37" s="117"/>
      <c r="S37" s="425">
        <v>2</v>
      </c>
      <c r="T37" s="107"/>
      <c r="U37" s="581">
        <v>8</v>
      </c>
      <c r="V37" s="423">
        <v>8</v>
      </c>
      <c r="W37" s="117"/>
      <c r="X37" s="117"/>
      <c r="Y37" s="107"/>
      <c r="Z37" s="581">
        <v>27</v>
      </c>
      <c r="AA37" s="117"/>
      <c r="AB37" s="424" t="s">
        <v>2</v>
      </c>
      <c r="AC37" s="117"/>
      <c r="AD37" s="117"/>
    </row>
    <row r="38" spans="1:35" hidden="1" outlineLevel="1">
      <c r="A38" s="581"/>
      <c r="F38" s="112">
        <v>22</v>
      </c>
      <c r="G38" s="108"/>
      <c r="H38" s="117"/>
      <c r="I38" s="427">
        <v>12</v>
      </c>
      <c r="J38" s="107"/>
      <c r="K38" s="581">
        <v>46</v>
      </c>
      <c r="L38" s="117"/>
      <c r="M38" s="424">
        <v>12</v>
      </c>
      <c r="N38" s="117"/>
      <c r="O38" s="117"/>
      <c r="P38" s="112">
        <v>50</v>
      </c>
      <c r="Q38" s="117"/>
      <c r="R38" s="108"/>
      <c r="S38" s="117"/>
      <c r="T38" s="425">
        <v>2</v>
      </c>
      <c r="U38" s="581">
        <v>16</v>
      </c>
      <c r="V38" s="117"/>
      <c r="W38" s="423">
        <v>8</v>
      </c>
      <c r="X38" s="117"/>
      <c r="Y38" s="117"/>
      <c r="Z38" s="581">
        <v>27</v>
      </c>
      <c r="AA38" s="108"/>
      <c r="AB38" s="117"/>
      <c r="AC38" s="428" t="s">
        <v>2</v>
      </c>
      <c r="AD38" s="107"/>
    </row>
    <row r="39" spans="1:35" hidden="1" outlineLevel="1">
      <c r="A39" s="581"/>
      <c r="F39" s="112">
        <v>31</v>
      </c>
      <c r="G39" s="117"/>
      <c r="H39" s="108"/>
      <c r="I39" s="117"/>
      <c r="J39" s="427">
        <v>9</v>
      </c>
      <c r="K39" s="112"/>
      <c r="L39" s="581"/>
      <c r="M39" s="581"/>
      <c r="N39" s="581"/>
      <c r="O39" s="581"/>
      <c r="U39" s="581">
        <v>20</v>
      </c>
      <c r="V39" s="108"/>
      <c r="W39" s="117"/>
      <c r="X39" s="427">
        <v>4</v>
      </c>
      <c r="Y39" s="107"/>
      <c r="Z39" s="581">
        <v>29</v>
      </c>
      <c r="AA39" s="117"/>
      <c r="AB39" s="108"/>
      <c r="AC39" s="117"/>
      <c r="AD39" s="431">
        <v>2</v>
      </c>
    </row>
    <row r="40" spans="1:35" hidden="1" outlineLevel="1">
      <c r="A40" s="581"/>
      <c r="F40" s="112"/>
      <c r="G40" s="581"/>
      <c r="H40" s="581"/>
      <c r="I40" s="581"/>
      <c r="J40" s="581"/>
      <c r="K40" s="112"/>
      <c r="L40" s="581"/>
      <c r="M40" s="581"/>
      <c r="N40" s="581"/>
      <c r="O40" s="581"/>
      <c r="U40" s="581">
        <v>20</v>
      </c>
      <c r="V40" s="117"/>
      <c r="W40" s="108"/>
      <c r="X40" s="117"/>
      <c r="Y40" s="427" t="s">
        <v>2</v>
      </c>
      <c r="Z40" s="581">
        <v>29</v>
      </c>
      <c r="AA40" s="428" t="s">
        <v>2</v>
      </c>
      <c r="AB40" s="108"/>
      <c r="AC40" s="117"/>
      <c r="AD40" s="117"/>
    </row>
    <row r="41" spans="1:35" hidden="1" outlineLevel="1">
      <c r="A41" s="581"/>
      <c r="K41" s="112"/>
      <c r="L41" s="581"/>
      <c r="M41" s="581"/>
      <c r="N41" s="581"/>
      <c r="O41" s="581"/>
      <c r="U41" s="581">
        <v>27</v>
      </c>
      <c r="V41" s="423">
        <v>7</v>
      </c>
      <c r="W41" s="117"/>
      <c r="X41" s="117"/>
      <c r="Y41" s="107"/>
      <c r="Z41" s="581">
        <v>32</v>
      </c>
      <c r="AA41" s="117"/>
      <c r="AB41" s="424">
        <v>3</v>
      </c>
      <c r="AC41" s="117"/>
      <c r="AD41" s="117"/>
    </row>
    <row r="42" spans="1:35" ht="5.0999999999999996" hidden="1" customHeight="1" outlineLevel="1"/>
    <row r="43" spans="1:35" hidden="1" outlineLevel="1">
      <c r="A43" s="581">
        <v>10</v>
      </c>
      <c r="B43" s="422">
        <v>10</v>
      </c>
      <c r="C43" s="117"/>
      <c r="D43" s="117"/>
      <c r="E43" s="107"/>
      <c r="F43" s="112">
        <v>19</v>
      </c>
      <c r="G43" s="117"/>
      <c r="H43" s="423">
        <v>9</v>
      </c>
      <c r="I43" s="117"/>
      <c r="J43" s="117"/>
      <c r="K43" s="581">
        <v>36</v>
      </c>
      <c r="L43" s="431">
        <v>2</v>
      </c>
      <c r="M43" s="108"/>
      <c r="N43" s="117"/>
      <c r="O43" s="117"/>
      <c r="P43" s="581">
        <v>40</v>
      </c>
      <c r="Q43" s="117"/>
      <c r="R43" s="108"/>
      <c r="S43" s="117"/>
      <c r="T43" s="425" t="s">
        <v>2</v>
      </c>
      <c r="U43" s="112">
        <v>8</v>
      </c>
      <c r="V43" s="423">
        <v>8</v>
      </c>
      <c r="W43" s="117"/>
      <c r="X43" s="117"/>
      <c r="Y43" s="107"/>
      <c r="Z43" s="112">
        <v>37</v>
      </c>
      <c r="AA43" s="424">
        <v>2</v>
      </c>
      <c r="AB43" s="117"/>
      <c r="AC43" s="117"/>
      <c r="AD43" s="107"/>
      <c r="AE43" s="581">
        <v>39</v>
      </c>
      <c r="AF43" s="108"/>
      <c r="AG43" s="117"/>
      <c r="AH43" s="425" t="s">
        <v>2</v>
      </c>
      <c r="AI43" s="107"/>
    </row>
    <row r="44" spans="1:35" hidden="1" outlineLevel="1">
      <c r="A44" s="581"/>
      <c r="F44" s="112">
        <v>27</v>
      </c>
      <c r="G44" s="108"/>
      <c r="H44" s="117"/>
      <c r="I44" s="427">
        <v>8</v>
      </c>
      <c r="J44" s="107"/>
      <c r="K44" s="581">
        <v>36</v>
      </c>
      <c r="L44" s="117"/>
      <c r="M44" s="424" t="s">
        <v>2</v>
      </c>
      <c r="N44" s="117"/>
      <c r="O44" s="117"/>
      <c r="U44" s="112">
        <v>13</v>
      </c>
      <c r="V44" s="117"/>
      <c r="W44" s="423">
        <v>5</v>
      </c>
      <c r="X44" s="117"/>
      <c r="Y44" s="117"/>
      <c r="Z44" s="112">
        <v>39</v>
      </c>
      <c r="AA44" s="117"/>
      <c r="AB44" s="424">
        <v>2</v>
      </c>
      <c r="AC44" s="117"/>
      <c r="AD44" s="117"/>
      <c r="AE44" s="581">
        <v>50</v>
      </c>
      <c r="AF44" s="117"/>
      <c r="AG44" s="108"/>
      <c r="AH44" s="117"/>
      <c r="AI44" s="425">
        <v>11</v>
      </c>
    </row>
    <row r="45" spans="1:35" hidden="1" outlineLevel="1">
      <c r="A45" s="581"/>
      <c r="F45" s="112">
        <v>34</v>
      </c>
      <c r="G45" s="117"/>
      <c r="H45" s="108"/>
      <c r="I45" s="117"/>
      <c r="J45" s="427">
        <v>7</v>
      </c>
      <c r="K45" s="581">
        <v>40</v>
      </c>
      <c r="L45" s="108"/>
      <c r="M45" s="117"/>
      <c r="N45" s="428">
        <v>4</v>
      </c>
      <c r="O45" s="107"/>
      <c r="U45" s="112">
        <v>24</v>
      </c>
      <c r="V45" s="108"/>
      <c r="W45" s="117"/>
      <c r="X45" s="427">
        <v>11</v>
      </c>
      <c r="Y45" s="107"/>
      <c r="Z45" s="112"/>
      <c r="AA45" s="581"/>
      <c r="AB45" s="581"/>
      <c r="AC45" s="581"/>
      <c r="AD45" s="581"/>
    </row>
    <row r="46" spans="1:35" hidden="1" outlineLevel="1">
      <c r="A46" s="581"/>
      <c r="F46" s="112"/>
      <c r="G46" s="581"/>
      <c r="H46" s="581"/>
      <c r="I46" s="581"/>
      <c r="J46" s="581"/>
      <c r="U46" s="112">
        <v>35</v>
      </c>
      <c r="V46" s="117"/>
      <c r="W46" s="108"/>
      <c r="X46" s="117"/>
      <c r="Y46" s="427">
        <v>11</v>
      </c>
      <c r="Z46" s="112"/>
      <c r="AA46" s="112"/>
      <c r="AB46" s="112"/>
      <c r="AC46" s="112"/>
      <c r="AD46" s="112"/>
    </row>
    <row r="47" spans="1:35" ht="5.0999999999999996" hidden="1" customHeight="1" outlineLevel="1"/>
    <row r="48" spans="1:35" hidden="1" outlineLevel="1">
      <c r="A48" s="581"/>
      <c r="B48" s="581"/>
      <c r="C48" s="581"/>
      <c r="D48" s="581"/>
      <c r="E48" s="581"/>
      <c r="F48" s="581"/>
      <c r="G48" s="581"/>
      <c r="H48" s="581"/>
      <c r="I48" s="581"/>
      <c r="J48" s="581"/>
      <c r="K48" s="581"/>
      <c r="L48" s="581"/>
      <c r="M48" s="581"/>
      <c r="N48" s="581"/>
      <c r="O48" s="581"/>
      <c r="P48" s="581"/>
      <c r="Q48" s="581"/>
      <c r="R48" s="581"/>
      <c r="S48" s="581"/>
      <c r="T48" s="581"/>
      <c r="U48" s="112">
        <v>3</v>
      </c>
      <c r="V48" s="423">
        <v>3</v>
      </c>
      <c r="W48" s="117"/>
      <c r="X48" s="117"/>
      <c r="Y48" s="107"/>
      <c r="Z48" s="112">
        <v>36</v>
      </c>
      <c r="AA48" s="117"/>
      <c r="AB48" s="424">
        <v>7</v>
      </c>
      <c r="AC48" s="117"/>
      <c r="AD48" s="117"/>
      <c r="AE48" s="106">
        <v>42</v>
      </c>
      <c r="AF48" s="430" t="s">
        <v>2</v>
      </c>
      <c r="AG48" s="117"/>
      <c r="AH48" s="117"/>
      <c r="AI48" s="107"/>
    </row>
    <row r="49" spans="1:36" hidden="1" outlineLevel="1">
      <c r="A49" s="581"/>
      <c r="B49" s="581"/>
      <c r="C49" s="581"/>
      <c r="D49" s="581"/>
      <c r="E49" s="581"/>
      <c r="F49" s="581"/>
      <c r="G49" s="581"/>
      <c r="H49" s="581"/>
      <c r="I49" s="581"/>
      <c r="J49" s="581"/>
      <c r="K49" s="581"/>
      <c r="L49" s="581"/>
      <c r="M49" s="581"/>
      <c r="N49" s="581"/>
      <c r="O49" s="581"/>
      <c r="P49" s="581"/>
      <c r="Q49" s="581"/>
      <c r="R49" s="581"/>
      <c r="S49" s="581"/>
      <c r="T49" s="581"/>
      <c r="U49" s="112">
        <v>11</v>
      </c>
      <c r="V49" s="117"/>
      <c r="W49" s="423">
        <v>8</v>
      </c>
      <c r="X49" s="117"/>
      <c r="Y49" s="117"/>
      <c r="Z49" s="112">
        <v>36</v>
      </c>
      <c r="AA49" s="108"/>
      <c r="AB49" s="117"/>
      <c r="AC49" s="428" t="s">
        <v>2</v>
      </c>
      <c r="AD49" s="107"/>
      <c r="AE49" s="106">
        <v>45</v>
      </c>
      <c r="AF49" s="117"/>
      <c r="AG49" s="426">
        <v>3</v>
      </c>
      <c r="AH49" s="117"/>
      <c r="AI49" s="117"/>
    </row>
    <row r="50" spans="1:36" hidden="1" outlineLevel="1">
      <c r="A50" s="581"/>
      <c r="B50" s="581"/>
      <c r="C50" s="581"/>
      <c r="D50" s="581"/>
      <c r="E50" s="581"/>
      <c r="F50" s="581"/>
      <c r="G50" s="581"/>
      <c r="H50" s="581"/>
      <c r="I50" s="581"/>
      <c r="J50" s="581"/>
      <c r="K50" s="581"/>
      <c r="L50" s="581"/>
      <c r="M50" s="581"/>
      <c r="N50" s="581"/>
      <c r="O50" s="581"/>
      <c r="P50" s="581"/>
      <c r="Q50" s="581"/>
      <c r="R50" s="581"/>
      <c r="S50" s="581"/>
      <c r="T50" s="581"/>
      <c r="U50" s="112">
        <v>13</v>
      </c>
      <c r="V50" s="108"/>
      <c r="W50" s="117"/>
      <c r="X50" s="427">
        <v>2</v>
      </c>
      <c r="Y50" s="107"/>
      <c r="Z50" s="112">
        <v>42</v>
      </c>
      <c r="AA50" s="117"/>
      <c r="AB50" s="108"/>
      <c r="AC50" s="117"/>
      <c r="AD50" s="431">
        <v>6</v>
      </c>
      <c r="AE50" s="106">
        <v>45</v>
      </c>
      <c r="AF50" s="108"/>
      <c r="AG50" s="117"/>
      <c r="AH50" s="425" t="s">
        <v>2</v>
      </c>
      <c r="AI50" s="107"/>
    </row>
    <row r="51" spans="1:36" hidden="1" outlineLevel="1">
      <c r="A51" s="581"/>
      <c r="B51" s="581"/>
      <c r="C51" s="581"/>
      <c r="D51" s="581"/>
      <c r="E51" s="581"/>
      <c r="F51" s="581"/>
      <c r="G51" s="581"/>
      <c r="H51" s="581"/>
      <c r="I51" s="581"/>
      <c r="J51" s="581"/>
      <c r="K51" s="581"/>
      <c r="L51" s="581"/>
      <c r="M51" s="581"/>
      <c r="N51" s="581"/>
      <c r="O51" s="581"/>
      <c r="P51" s="581"/>
      <c r="Q51" s="581"/>
      <c r="R51" s="581"/>
      <c r="S51" s="581"/>
      <c r="T51" s="581"/>
      <c r="U51" s="112">
        <v>21</v>
      </c>
      <c r="V51" s="117"/>
      <c r="W51" s="108"/>
      <c r="X51" s="117"/>
      <c r="Y51" s="427">
        <v>8</v>
      </c>
      <c r="Z51" s="112"/>
      <c r="AA51" s="581"/>
      <c r="AB51" s="581"/>
      <c r="AC51" s="581"/>
      <c r="AD51" s="581"/>
      <c r="AE51" s="581">
        <v>46</v>
      </c>
      <c r="AF51" s="117"/>
      <c r="AG51" s="108"/>
      <c r="AH51" s="117"/>
      <c r="AI51" s="425">
        <v>1</v>
      </c>
    </row>
    <row r="52" spans="1:36" hidden="1" outlineLevel="1">
      <c r="A52" s="581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>
        <v>29</v>
      </c>
      <c r="V52" s="423">
        <v>8</v>
      </c>
      <c r="W52" s="117"/>
      <c r="X52" s="117"/>
      <c r="Y52" s="107"/>
      <c r="Z52" s="112"/>
      <c r="AA52" s="112"/>
      <c r="AB52" s="112"/>
      <c r="AC52" s="112"/>
      <c r="AD52" s="112"/>
      <c r="AE52" s="106">
        <v>50</v>
      </c>
      <c r="AF52" s="430">
        <v>4</v>
      </c>
      <c r="AG52" s="117"/>
      <c r="AH52" s="117"/>
      <c r="AI52" s="107"/>
    </row>
    <row r="53" spans="1:36" ht="5.0999999999999996" customHeight="1"/>
    <row r="54" spans="1:36" ht="15.75">
      <c r="A54" s="1533" t="s">
        <v>3</v>
      </c>
      <c r="B54" s="416">
        <f>SUM(B3:B52)</f>
        <v>64</v>
      </c>
      <c r="C54" s="432"/>
      <c r="D54" s="432"/>
      <c r="E54" s="432"/>
      <c r="F54" s="435">
        <f>SUM(B54:E54)</f>
        <v>64</v>
      </c>
      <c r="G54" s="416">
        <f>SUM(G3:G52)</f>
        <v>18</v>
      </c>
      <c r="H54" s="416">
        <f>SUM(H3:H52)</f>
        <v>33</v>
      </c>
      <c r="I54" s="416">
        <f>SUM(I3:I52)</f>
        <v>46</v>
      </c>
      <c r="J54" s="416">
        <f>SUM(J3:J52)</f>
        <v>33</v>
      </c>
      <c r="K54" s="435">
        <f>SUM(G54:J54)</f>
        <v>130</v>
      </c>
      <c r="L54" s="416">
        <f>SUM(L3:L52)</f>
        <v>9</v>
      </c>
      <c r="M54" s="416">
        <f>SUM(M3:M52)</f>
        <v>18</v>
      </c>
      <c r="N54" s="416">
        <f>SUM(N3:N52)</f>
        <v>9</v>
      </c>
      <c r="O54" s="416">
        <f>SUM(O3:O52)</f>
        <v>14</v>
      </c>
      <c r="P54" s="435">
        <f>SUM(L54:O54)</f>
        <v>50</v>
      </c>
      <c r="Q54" s="416">
        <f>SUM(Q3:Q52)</f>
        <v>4</v>
      </c>
      <c r="R54" s="416">
        <f>SUM(R3:R52)</f>
        <v>8</v>
      </c>
      <c r="S54" s="416">
        <f>SUM(S3:S52)</f>
        <v>9</v>
      </c>
      <c r="T54" s="416">
        <f>SUM(T3:T52)</f>
        <v>13</v>
      </c>
      <c r="U54" s="435">
        <f>SUM(Q54:T54)</f>
        <v>34</v>
      </c>
      <c r="V54" s="416">
        <f>SUM(V3:V52)</f>
        <v>59</v>
      </c>
      <c r="W54" s="416">
        <f>SUM(W3:W52)</f>
        <v>53</v>
      </c>
      <c r="X54" s="416">
        <f>SUM(X3:X52)</f>
        <v>41</v>
      </c>
      <c r="Y54" s="416">
        <f>SUM(Y3:Y52)</f>
        <v>55</v>
      </c>
      <c r="Z54" s="435">
        <f>SUM(V54:Y54)</f>
        <v>208</v>
      </c>
      <c r="AA54" s="416">
        <f>SUM(AA3:AA52)</f>
        <v>17</v>
      </c>
      <c r="AB54" s="416">
        <f>SUM(AB3:AB52)</f>
        <v>29</v>
      </c>
      <c r="AC54" s="416">
        <f>SUM(AC3:AC52)</f>
        <v>11</v>
      </c>
      <c r="AD54" s="416">
        <f>SUM(AD3:AD52)</f>
        <v>30</v>
      </c>
      <c r="AE54" s="435">
        <f>SUM(AA54:AD54)</f>
        <v>87</v>
      </c>
      <c r="AF54" s="416">
        <f>SUM(AF3:AF52)</f>
        <v>20</v>
      </c>
      <c r="AG54" s="416">
        <f>SUM(AG3:AG52)</f>
        <v>12</v>
      </c>
      <c r="AH54" s="416">
        <f>SUM(AH3:AH52)</f>
        <v>9</v>
      </c>
      <c r="AI54" s="416">
        <f>SUM(AI3:AI52)</f>
        <v>31</v>
      </c>
      <c r="AJ54" s="435">
        <f>SUM(AF54:AI54)</f>
        <v>72</v>
      </c>
    </row>
    <row r="55" spans="1:36" ht="15.75">
      <c r="A55" s="1534" t="s">
        <v>4</v>
      </c>
      <c r="B55" s="416">
        <f>COUNTA(B3:B52)</f>
        <v>6</v>
      </c>
      <c r="C55" s="432"/>
      <c r="D55" s="432"/>
      <c r="E55" s="432"/>
      <c r="F55" s="435">
        <f>SUM(B55:E55)</f>
        <v>6</v>
      </c>
      <c r="G55" s="416">
        <f>COUNTA(G3:G52)</f>
        <v>3</v>
      </c>
      <c r="H55" s="416">
        <f>COUNTA(H3:H52)</f>
        <v>7</v>
      </c>
      <c r="I55" s="416">
        <f>COUNTA(I3:I52)</f>
        <v>6</v>
      </c>
      <c r="J55" s="416">
        <f>COUNTA(J3:J52)</f>
        <v>5</v>
      </c>
      <c r="K55" s="435">
        <f>SUM(G55:J55)</f>
        <v>21</v>
      </c>
      <c r="L55" s="416">
        <f>COUNTA(L3:L52)</f>
        <v>3</v>
      </c>
      <c r="M55" s="416">
        <f>COUNTA(M3:M52)</f>
        <v>4</v>
      </c>
      <c r="N55" s="416">
        <f>COUNTA(N3:N52)</f>
        <v>4</v>
      </c>
      <c r="O55" s="416">
        <f>COUNTA(O3:O52)</f>
        <v>3</v>
      </c>
      <c r="P55" s="435">
        <f>SUM(L55:O55)</f>
        <v>14</v>
      </c>
      <c r="Q55" s="416">
        <f>COUNTA(Q3:Q52)</f>
        <v>2</v>
      </c>
      <c r="R55" s="416">
        <f>COUNTA(R3:R52)</f>
        <v>3</v>
      </c>
      <c r="S55" s="416">
        <f>COUNTA(S3:S52)</f>
        <v>3</v>
      </c>
      <c r="T55" s="416">
        <f>COUNTA(T3:T52)</f>
        <v>4</v>
      </c>
      <c r="U55" s="435">
        <f>SUM(Q55:T55)</f>
        <v>12</v>
      </c>
      <c r="V55" s="416">
        <f>COUNTA(V3:V52)</f>
        <v>12</v>
      </c>
      <c r="W55" s="416">
        <f>COUNTA(W3:W52)</f>
        <v>10</v>
      </c>
      <c r="X55" s="416">
        <f>COUNTA(X3:X52)</f>
        <v>8</v>
      </c>
      <c r="Y55" s="416">
        <f>COUNTA(Y3:Y52)</f>
        <v>8</v>
      </c>
      <c r="Z55" s="435">
        <f>SUM(V55:Y55)</f>
        <v>38</v>
      </c>
      <c r="AA55" s="416">
        <f>COUNTA(AA3:AA52)</f>
        <v>6</v>
      </c>
      <c r="AB55" s="416">
        <f>COUNTA(AB3:AB52)</f>
        <v>7</v>
      </c>
      <c r="AC55" s="416">
        <f>COUNTA(AC3:AC52)</f>
        <v>5</v>
      </c>
      <c r="AD55" s="416">
        <f>COUNTA(AD3:AD52)</f>
        <v>6</v>
      </c>
      <c r="AE55" s="435">
        <f>SUM(AA55:AD55)</f>
        <v>24</v>
      </c>
      <c r="AF55" s="416">
        <f>COUNTA(AF3:AF52)</f>
        <v>5</v>
      </c>
      <c r="AG55" s="416">
        <f>COUNTA(AG3:AG52)</f>
        <v>4</v>
      </c>
      <c r="AH55" s="416">
        <f>COUNTA(AH3:AH52)</f>
        <v>4</v>
      </c>
      <c r="AI55" s="416">
        <f>COUNTA(AI3:AI52)</f>
        <v>5</v>
      </c>
      <c r="AJ55" s="435">
        <f>SUM(AF55:AI55)</f>
        <v>18</v>
      </c>
    </row>
    <row r="56" spans="1:36" ht="15.75">
      <c r="A56" s="1533" t="s">
        <v>6</v>
      </c>
      <c r="B56" s="416">
        <f>B55-COUNT(B3:B52)</f>
        <v>0</v>
      </c>
      <c r="C56" s="432"/>
      <c r="D56" s="432"/>
      <c r="E56" s="432"/>
      <c r="F56" s="435">
        <f>SUM(B56:E56)</f>
        <v>0</v>
      </c>
      <c r="G56" s="416">
        <f>G55-COUNT(G3:G52)</f>
        <v>0</v>
      </c>
      <c r="H56" s="416">
        <f>H55-COUNT(H3:H52)</f>
        <v>2</v>
      </c>
      <c r="I56" s="416">
        <f>I55-COUNT(I3:I52)</f>
        <v>0</v>
      </c>
      <c r="J56" s="416">
        <f>J55-COUNT(J3:J52)</f>
        <v>1</v>
      </c>
      <c r="K56" s="435">
        <f>SUM(G56:J56)</f>
        <v>3</v>
      </c>
      <c r="L56" s="416">
        <f>L55-COUNT(L3:L52)</f>
        <v>0</v>
      </c>
      <c r="M56" s="416">
        <f>M55-COUNT(M3:M52)</f>
        <v>2</v>
      </c>
      <c r="N56" s="416">
        <f>N55-COUNT(N3:N52)</f>
        <v>1</v>
      </c>
      <c r="O56" s="416">
        <f>O55-COUNT(O3:O52)</f>
        <v>0</v>
      </c>
      <c r="P56" s="435">
        <f>SUM(L56:O56)</f>
        <v>3</v>
      </c>
      <c r="Q56" s="416">
        <f>Q55-COUNT(Q3:Q52)</f>
        <v>0</v>
      </c>
      <c r="R56" s="416">
        <f>R55-COUNT(R3:R52)</f>
        <v>0</v>
      </c>
      <c r="S56" s="416">
        <f>S55-COUNT(S3:S52)</f>
        <v>1</v>
      </c>
      <c r="T56" s="416">
        <f>T55-COUNT(T3:T52)</f>
        <v>1</v>
      </c>
      <c r="U56" s="435">
        <f>SUM(Q56:T56)</f>
        <v>2</v>
      </c>
      <c r="V56" s="416">
        <f>V55-COUNT(V3:V52)</f>
        <v>1</v>
      </c>
      <c r="W56" s="416">
        <f>W55-COUNT(W3:W52)</f>
        <v>3</v>
      </c>
      <c r="X56" s="416">
        <f>X55-COUNT(X3:X52)</f>
        <v>0</v>
      </c>
      <c r="Y56" s="416">
        <f>Y55-COUNT(Y3:Y52)</f>
        <v>2</v>
      </c>
      <c r="Z56" s="435">
        <f>SUM(V56:Y56)</f>
        <v>6</v>
      </c>
      <c r="AA56" s="416">
        <f>AA55-COUNT(AA3:AA52)</f>
        <v>2</v>
      </c>
      <c r="AB56" s="416">
        <f>AB55-COUNT(AB3:AB52)</f>
        <v>2</v>
      </c>
      <c r="AC56" s="416">
        <f>AC55-COUNT(AC3:AC52)</f>
        <v>2</v>
      </c>
      <c r="AD56" s="416">
        <f>AD55-COUNT(AD3:AD52)</f>
        <v>0</v>
      </c>
      <c r="AE56" s="435">
        <f>SUM(AA56:AD56)</f>
        <v>6</v>
      </c>
      <c r="AF56" s="416">
        <f>AF55-COUNT(AF3:AF52)</f>
        <v>1</v>
      </c>
      <c r="AG56" s="416">
        <f>AG55-COUNT(AG3:AG52)</f>
        <v>1</v>
      </c>
      <c r="AH56" s="416">
        <f>AH55-COUNT(AH3:AH52)</f>
        <v>2</v>
      </c>
      <c r="AI56" s="416">
        <f>AI55-COUNT(AI3:AI52)</f>
        <v>0</v>
      </c>
      <c r="AJ56" s="435">
        <f>SUM(AF56:AI56)</f>
        <v>4</v>
      </c>
    </row>
    <row r="57" spans="1:36" ht="15.75">
      <c r="A57" s="1533" t="s">
        <v>12</v>
      </c>
      <c r="B57" s="417">
        <f>B56/B55</f>
        <v>0</v>
      </c>
      <c r="C57" s="418"/>
      <c r="D57" s="418"/>
      <c r="E57" s="418"/>
      <c r="F57" s="436">
        <f t="shared" ref="F57:AJ57" si="0">F56/F55</f>
        <v>0</v>
      </c>
      <c r="G57" s="417">
        <f t="shared" si="0"/>
        <v>0</v>
      </c>
      <c r="H57" s="417">
        <f t="shared" si="0"/>
        <v>0.2857142857142857</v>
      </c>
      <c r="I57" s="417">
        <f t="shared" si="0"/>
        <v>0</v>
      </c>
      <c r="J57" s="417">
        <f t="shared" si="0"/>
        <v>0.2</v>
      </c>
      <c r="K57" s="436">
        <f t="shared" si="0"/>
        <v>0.14285714285714285</v>
      </c>
      <c r="L57" s="417">
        <f t="shared" si="0"/>
        <v>0</v>
      </c>
      <c r="M57" s="417">
        <f t="shared" si="0"/>
        <v>0.5</v>
      </c>
      <c r="N57" s="417">
        <f t="shared" si="0"/>
        <v>0.25</v>
      </c>
      <c r="O57" s="417">
        <f t="shared" si="0"/>
        <v>0</v>
      </c>
      <c r="P57" s="436">
        <f t="shared" si="0"/>
        <v>0.21428571428571427</v>
      </c>
      <c r="Q57" s="417">
        <f t="shared" si="0"/>
        <v>0</v>
      </c>
      <c r="R57" s="417">
        <f t="shared" si="0"/>
        <v>0</v>
      </c>
      <c r="S57" s="417">
        <f t="shared" si="0"/>
        <v>0.33333333333333331</v>
      </c>
      <c r="T57" s="417">
        <f t="shared" si="0"/>
        <v>0.25</v>
      </c>
      <c r="U57" s="436">
        <f t="shared" si="0"/>
        <v>0.16666666666666666</v>
      </c>
      <c r="V57" s="417">
        <f t="shared" si="0"/>
        <v>8.3333333333333329E-2</v>
      </c>
      <c r="W57" s="417">
        <f t="shared" si="0"/>
        <v>0.3</v>
      </c>
      <c r="X57" s="417">
        <f t="shared" si="0"/>
        <v>0</v>
      </c>
      <c r="Y57" s="417">
        <f t="shared" si="0"/>
        <v>0.25</v>
      </c>
      <c r="Z57" s="436">
        <f t="shared" si="0"/>
        <v>0.15789473684210525</v>
      </c>
      <c r="AA57" s="417">
        <f t="shared" si="0"/>
        <v>0.33333333333333331</v>
      </c>
      <c r="AB57" s="417">
        <f t="shared" si="0"/>
        <v>0.2857142857142857</v>
      </c>
      <c r="AC57" s="417">
        <f t="shared" si="0"/>
        <v>0.4</v>
      </c>
      <c r="AD57" s="417">
        <f t="shared" si="0"/>
        <v>0</v>
      </c>
      <c r="AE57" s="436">
        <f t="shared" si="0"/>
        <v>0.25</v>
      </c>
      <c r="AF57" s="417">
        <f t="shared" si="0"/>
        <v>0.2</v>
      </c>
      <c r="AG57" s="417">
        <f t="shared" si="0"/>
        <v>0.25</v>
      </c>
      <c r="AH57" s="417">
        <f t="shared" si="0"/>
        <v>0.5</v>
      </c>
      <c r="AI57" s="417">
        <f t="shared" si="0"/>
        <v>0</v>
      </c>
      <c r="AJ57" s="436">
        <f t="shared" si="0"/>
        <v>0.22222222222222221</v>
      </c>
    </row>
    <row r="58" spans="1:36" ht="15.75">
      <c r="A58" s="1533" t="s">
        <v>5</v>
      </c>
      <c r="B58" s="419">
        <f>B54/B55</f>
        <v>10.666666666666666</v>
      </c>
      <c r="C58" s="420"/>
      <c r="D58" s="420"/>
      <c r="E58" s="420"/>
      <c r="F58" s="437">
        <f t="shared" ref="F58:AJ58" si="1">F54/F55</f>
        <v>10.666666666666666</v>
      </c>
      <c r="G58" s="419">
        <f t="shared" si="1"/>
        <v>6</v>
      </c>
      <c r="H58" s="419">
        <f t="shared" si="1"/>
        <v>4.7142857142857144</v>
      </c>
      <c r="I58" s="419">
        <f t="shared" si="1"/>
        <v>7.666666666666667</v>
      </c>
      <c r="J58" s="419">
        <f t="shared" si="1"/>
        <v>6.6</v>
      </c>
      <c r="K58" s="437">
        <f t="shared" si="1"/>
        <v>6.1904761904761907</v>
      </c>
      <c r="L58" s="419">
        <f t="shared" si="1"/>
        <v>3</v>
      </c>
      <c r="M58" s="419">
        <f t="shared" si="1"/>
        <v>4.5</v>
      </c>
      <c r="N58" s="419">
        <f t="shared" si="1"/>
        <v>2.25</v>
      </c>
      <c r="O58" s="419">
        <f t="shared" si="1"/>
        <v>4.666666666666667</v>
      </c>
      <c r="P58" s="437">
        <f t="shared" si="1"/>
        <v>3.5714285714285716</v>
      </c>
      <c r="Q58" s="419">
        <f t="shared" si="1"/>
        <v>2</v>
      </c>
      <c r="R58" s="419">
        <f t="shared" si="1"/>
        <v>2.6666666666666665</v>
      </c>
      <c r="S58" s="419">
        <f t="shared" si="1"/>
        <v>3</v>
      </c>
      <c r="T58" s="419">
        <f t="shared" si="1"/>
        <v>3.25</v>
      </c>
      <c r="U58" s="437">
        <f t="shared" si="1"/>
        <v>2.8333333333333335</v>
      </c>
      <c r="V58" s="419">
        <f t="shared" si="1"/>
        <v>4.916666666666667</v>
      </c>
      <c r="W58" s="419">
        <f t="shared" si="1"/>
        <v>5.3</v>
      </c>
      <c r="X58" s="419">
        <f t="shared" si="1"/>
        <v>5.125</v>
      </c>
      <c r="Y58" s="419">
        <f t="shared" si="1"/>
        <v>6.875</v>
      </c>
      <c r="Z58" s="437">
        <f t="shared" si="1"/>
        <v>5.4736842105263159</v>
      </c>
      <c r="AA58" s="419">
        <f t="shared" si="1"/>
        <v>2.8333333333333335</v>
      </c>
      <c r="AB58" s="419">
        <f t="shared" si="1"/>
        <v>4.1428571428571432</v>
      </c>
      <c r="AC58" s="419">
        <f t="shared" si="1"/>
        <v>2.2000000000000002</v>
      </c>
      <c r="AD58" s="419">
        <f t="shared" si="1"/>
        <v>5</v>
      </c>
      <c r="AE58" s="437">
        <f t="shared" si="1"/>
        <v>3.625</v>
      </c>
      <c r="AF58" s="419">
        <f t="shared" si="1"/>
        <v>4</v>
      </c>
      <c r="AG58" s="419">
        <f t="shared" si="1"/>
        <v>3</v>
      </c>
      <c r="AH58" s="419">
        <f t="shared" si="1"/>
        <v>2.25</v>
      </c>
      <c r="AI58" s="419">
        <f t="shared" si="1"/>
        <v>6.2</v>
      </c>
      <c r="AJ58" s="437">
        <f t="shared" si="1"/>
        <v>4</v>
      </c>
    </row>
    <row r="59" spans="1:36" ht="15.75">
      <c r="A59" s="1533" t="s">
        <v>8</v>
      </c>
      <c r="B59" s="419">
        <f>B54/(B55-B56)</f>
        <v>10.666666666666666</v>
      </c>
      <c r="C59" s="420"/>
      <c r="D59" s="420"/>
      <c r="E59" s="420"/>
      <c r="F59" s="437">
        <f t="shared" ref="F59:N59" si="2">F54/(F55-F56)</f>
        <v>10.666666666666666</v>
      </c>
      <c r="G59" s="419">
        <f t="shared" si="2"/>
        <v>6</v>
      </c>
      <c r="H59" s="419">
        <f t="shared" si="2"/>
        <v>6.6</v>
      </c>
      <c r="I59" s="419">
        <f t="shared" si="2"/>
        <v>7.666666666666667</v>
      </c>
      <c r="J59" s="419">
        <f t="shared" si="2"/>
        <v>8.25</v>
      </c>
      <c r="K59" s="437">
        <f t="shared" si="2"/>
        <v>7.2222222222222223</v>
      </c>
      <c r="L59" s="419">
        <f t="shared" si="2"/>
        <v>3</v>
      </c>
      <c r="M59" s="419">
        <f t="shared" si="2"/>
        <v>9</v>
      </c>
      <c r="N59" s="419">
        <f t="shared" si="2"/>
        <v>3</v>
      </c>
      <c r="O59" s="419">
        <v>0</v>
      </c>
      <c r="P59" s="437">
        <f t="shared" ref="P59:AB59" si="3">P54/(P55-P56)</f>
        <v>4.5454545454545459</v>
      </c>
      <c r="Q59" s="419">
        <f t="shared" si="3"/>
        <v>2</v>
      </c>
      <c r="R59" s="419">
        <f t="shared" si="3"/>
        <v>2.6666666666666665</v>
      </c>
      <c r="S59" s="419">
        <f t="shared" si="3"/>
        <v>4.5</v>
      </c>
      <c r="T59" s="419">
        <f t="shared" si="3"/>
        <v>4.333333333333333</v>
      </c>
      <c r="U59" s="437">
        <f t="shared" si="3"/>
        <v>3.4</v>
      </c>
      <c r="V59" s="419">
        <f t="shared" si="3"/>
        <v>5.3636363636363633</v>
      </c>
      <c r="W59" s="419">
        <f t="shared" si="3"/>
        <v>7.5714285714285712</v>
      </c>
      <c r="X59" s="419">
        <f t="shared" si="3"/>
        <v>5.125</v>
      </c>
      <c r="Y59" s="419">
        <f t="shared" si="3"/>
        <v>9.1666666666666661</v>
      </c>
      <c r="Z59" s="437">
        <f t="shared" si="3"/>
        <v>6.5</v>
      </c>
      <c r="AA59" s="419">
        <f t="shared" si="3"/>
        <v>4.25</v>
      </c>
      <c r="AB59" s="419">
        <f t="shared" si="3"/>
        <v>5.8</v>
      </c>
      <c r="AC59" s="419">
        <v>0</v>
      </c>
      <c r="AD59" s="419">
        <f t="shared" ref="AD59:AJ59" si="4">AD54/(AD55-AD56)</f>
        <v>5</v>
      </c>
      <c r="AE59" s="437">
        <f t="shared" si="4"/>
        <v>4.833333333333333</v>
      </c>
      <c r="AF59" s="419">
        <f t="shared" si="4"/>
        <v>5</v>
      </c>
      <c r="AG59" s="419">
        <f t="shared" si="4"/>
        <v>4</v>
      </c>
      <c r="AH59" s="419">
        <f t="shared" si="4"/>
        <v>4.5</v>
      </c>
      <c r="AI59" s="419">
        <f t="shared" si="4"/>
        <v>6.2</v>
      </c>
      <c r="AJ59" s="437">
        <f t="shared" si="4"/>
        <v>5.1428571428571432</v>
      </c>
    </row>
    <row r="61" spans="1:36">
      <c r="B61" s="1550" t="s">
        <v>76</v>
      </c>
      <c r="C61" s="1550"/>
      <c r="D61" s="1550"/>
      <c r="E61" s="1550"/>
      <c r="V61" s="1550" t="s">
        <v>77</v>
      </c>
      <c r="W61" s="1550"/>
      <c r="X61" s="1550"/>
      <c r="Y61" s="1550"/>
    </row>
    <row r="62" spans="1:36" ht="15.75">
      <c r="A62" s="1533" t="s">
        <v>3</v>
      </c>
      <c r="B62" s="416">
        <f t="shared" ref="B62:E64" si="5">B54+G54+L54+Q54</f>
        <v>95</v>
      </c>
      <c r="C62" s="416">
        <f t="shared" si="5"/>
        <v>59</v>
      </c>
      <c r="D62" s="416">
        <f t="shared" si="5"/>
        <v>64</v>
      </c>
      <c r="E62" s="416">
        <f t="shared" si="5"/>
        <v>60</v>
      </c>
      <c r="F62" s="435">
        <f>SUM(B62:E62)</f>
        <v>278</v>
      </c>
      <c r="V62" s="416">
        <f t="shared" ref="V62:Y64" si="6">V54+AA54+AF54+AK54</f>
        <v>96</v>
      </c>
      <c r="W62" s="416">
        <f t="shared" si="6"/>
        <v>94</v>
      </c>
      <c r="X62" s="416">
        <f t="shared" si="6"/>
        <v>61</v>
      </c>
      <c r="Y62" s="416">
        <f t="shared" si="6"/>
        <v>116</v>
      </c>
      <c r="Z62" s="435">
        <f>SUM(V62:Y62)</f>
        <v>367</v>
      </c>
    </row>
    <row r="63" spans="1:36" ht="15.75">
      <c r="A63" s="1534" t="s">
        <v>4</v>
      </c>
      <c r="B63" s="416">
        <f t="shared" si="5"/>
        <v>14</v>
      </c>
      <c r="C63" s="416">
        <f t="shared" si="5"/>
        <v>14</v>
      </c>
      <c r="D63" s="416">
        <f t="shared" si="5"/>
        <v>13</v>
      </c>
      <c r="E63" s="416">
        <f t="shared" si="5"/>
        <v>12</v>
      </c>
      <c r="F63" s="435">
        <f>SUM(B63:E63)</f>
        <v>53</v>
      </c>
      <c r="V63" s="416">
        <f t="shared" si="6"/>
        <v>23</v>
      </c>
      <c r="W63" s="416">
        <f t="shared" si="6"/>
        <v>21</v>
      </c>
      <c r="X63" s="416">
        <f t="shared" si="6"/>
        <v>17</v>
      </c>
      <c r="Y63" s="416">
        <f t="shared" si="6"/>
        <v>19</v>
      </c>
      <c r="Z63" s="435">
        <f>SUM(V63:Y63)</f>
        <v>80</v>
      </c>
    </row>
    <row r="64" spans="1:36" ht="15.75">
      <c r="A64" s="1533" t="s">
        <v>6</v>
      </c>
      <c r="B64" s="416">
        <f t="shared" si="5"/>
        <v>0</v>
      </c>
      <c r="C64" s="416">
        <f t="shared" si="5"/>
        <v>4</v>
      </c>
      <c r="D64" s="416">
        <f t="shared" si="5"/>
        <v>2</v>
      </c>
      <c r="E64" s="416">
        <f t="shared" si="5"/>
        <v>2</v>
      </c>
      <c r="F64" s="435">
        <f>SUM(B64:E64)</f>
        <v>8</v>
      </c>
      <c r="V64" s="416">
        <f t="shared" si="6"/>
        <v>4</v>
      </c>
      <c r="W64" s="416">
        <f t="shared" si="6"/>
        <v>6</v>
      </c>
      <c r="X64" s="416">
        <f t="shared" si="6"/>
        <v>4</v>
      </c>
      <c r="Y64" s="416">
        <f t="shared" si="6"/>
        <v>2</v>
      </c>
      <c r="Z64" s="435">
        <f>SUM(V64:Y64)</f>
        <v>16</v>
      </c>
    </row>
    <row r="65" spans="1:26" ht="15.75">
      <c r="A65" s="1533" t="s">
        <v>12</v>
      </c>
      <c r="B65" s="417">
        <f>B64/B63</f>
        <v>0</v>
      </c>
      <c r="C65" s="417">
        <f>C64/C63</f>
        <v>0.2857142857142857</v>
      </c>
      <c r="D65" s="417">
        <f>D64/D63</f>
        <v>0.15384615384615385</v>
      </c>
      <c r="E65" s="417">
        <f>E64/E63</f>
        <v>0.16666666666666666</v>
      </c>
      <c r="F65" s="436">
        <f>F64/F63</f>
        <v>0.15094339622641509</v>
      </c>
      <c r="V65" s="417">
        <f>V64/V63</f>
        <v>0.17391304347826086</v>
      </c>
      <c r="W65" s="417">
        <f>W64/W63</f>
        <v>0.2857142857142857</v>
      </c>
      <c r="X65" s="417">
        <f>X64/X63</f>
        <v>0.23529411764705882</v>
      </c>
      <c r="Y65" s="417">
        <f>Y64/Y63</f>
        <v>0.10526315789473684</v>
      </c>
      <c r="Z65" s="436">
        <f>Z64/Z63</f>
        <v>0.2</v>
      </c>
    </row>
    <row r="66" spans="1:26" ht="15.75">
      <c r="A66" s="1533" t="s">
        <v>5</v>
      </c>
      <c r="B66" s="419">
        <f>B62/B63</f>
        <v>6.7857142857142856</v>
      </c>
      <c r="C66" s="419">
        <f>C62/C63</f>
        <v>4.2142857142857144</v>
      </c>
      <c r="D66" s="419">
        <f>D62/D63</f>
        <v>4.9230769230769234</v>
      </c>
      <c r="E66" s="419">
        <f>E62/E63</f>
        <v>5</v>
      </c>
      <c r="F66" s="437">
        <f>F62/F63</f>
        <v>5.2452830188679247</v>
      </c>
      <c r="V66" s="419">
        <f>V62/V63</f>
        <v>4.1739130434782608</v>
      </c>
      <c r="W66" s="419">
        <f>W62/W63</f>
        <v>4.4761904761904763</v>
      </c>
      <c r="X66" s="419">
        <f>X62/X63</f>
        <v>3.5882352941176472</v>
      </c>
      <c r="Y66" s="419">
        <f>Y62/Y63</f>
        <v>6.1052631578947372</v>
      </c>
      <c r="Z66" s="437">
        <f>Z62/Z63</f>
        <v>4.5875000000000004</v>
      </c>
    </row>
    <row r="67" spans="1:26" ht="15.75">
      <c r="A67" s="1533" t="s">
        <v>8</v>
      </c>
      <c r="B67" s="419">
        <f>B62/(B63-B64)</f>
        <v>6.7857142857142856</v>
      </c>
      <c r="C67" s="419">
        <f>C62/(C63-C64)</f>
        <v>5.9</v>
      </c>
      <c r="D67" s="419">
        <f>D62/(D63-D64)</f>
        <v>5.8181818181818183</v>
      </c>
      <c r="E67" s="419">
        <f>E62/(E63-E64)</f>
        <v>6</v>
      </c>
      <c r="F67" s="437">
        <f>F62/(F63-F64)</f>
        <v>6.177777777777778</v>
      </c>
      <c r="V67" s="419">
        <f>V62/(V63-V64)</f>
        <v>5.0526315789473681</v>
      </c>
      <c r="W67" s="419">
        <f>W62/(W63-W64)</f>
        <v>6.2666666666666666</v>
      </c>
      <c r="X67" s="419">
        <f>X62/(X63-X64)</f>
        <v>4.6923076923076925</v>
      </c>
      <c r="Y67" s="419">
        <f>Y62/(Y63-Y64)</f>
        <v>6.8235294117647056</v>
      </c>
      <c r="Z67" s="437">
        <f>Z62/(Z63-Z64)</f>
        <v>5.734375</v>
      </c>
    </row>
    <row r="69" spans="1:26">
      <c r="G69" s="1555" t="s">
        <v>88</v>
      </c>
      <c r="H69" s="1555"/>
      <c r="I69" s="1555"/>
      <c r="J69" s="1555"/>
      <c r="L69" s="1556" t="s">
        <v>89</v>
      </c>
      <c r="M69" s="1556"/>
      <c r="N69" s="1556"/>
      <c r="O69" s="1556"/>
      <c r="Q69" s="1557" t="s">
        <v>90</v>
      </c>
      <c r="R69" s="1557"/>
      <c r="S69" s="1557"/>
      <c r="T69" s="1557"/>
    </row>
    <row r="70" spans="1:26" ht="15.75">
      <c r="G70" s="416">
        <f t="shared" ref="G70:J72" si="7">G54+V54</f>
        <v>77</v>
      </c>
      <c r="H70" s="416">
        <f t="shared" si="7"/>
        <v>86</v>
      </c>
      <c r="I70" s="416">
        <f t="shared" si="7"/>
        <v>87</v>
      </c>
      <c r="J70" s="416">
        <f t="shared" si="7"/>
        <v>88</v>
      </c>
      <c r="K70" s="435">
        <f>SUM(G70:J70)</f>
        <v>338</v>
      </c>
      <c r="L70" s="416">
        <f t="shared" ref="L70:O72" si="8">L54+AA54</f>
        <v>26</v>
      </c>
      <c r="M70" s="416">
        <f t="shared" si="8"/>
        <v>47</v>
      </c>
      <c r="N70" s="416">
        <f t="shared" si="8"/>
        <v>20</v>
      </c>
      <c r="O70" s="416">
        <f t="shared" si="8"/>
        <v>44</v>
      </c>
      <c r="P70" s="435">
        <f>SUM(L70:O70)</f>
        <v>137</v>
      </c>
      <c r="Q70" s="416">
        <f t="shared" ref="Q70:T72" si="9">Q54+AF54</f>
        <v>24</v>
      </c>
      <c r="R70" s="416">
        <f t="shared" si="9"/>
        <v>20</v>
      </c>
      <c r="S70" s="416">
        <f t="shared" si="9"/>
        <v>18</v>
      </c>
      <c r="T70" s="416">
        <f t="shared" si="9"/>
        <v>44</v>
      </c>
      <c r="U70" s="435">
        <f>SUM(Q70:T70)</f>
        <v>106</v>
      </c>
      <c r="Z70" s="435"/>
    </row>
    <row r="71" spans="1:26" ht="15.75">
      <c r="G71" s="416">
        <f t="shared" si="7"/>
        <v>15</v>
      </c>
      <c r="H71" s="416">
        <f t="shared" si="7"/>
        <v>17</v>
      </c>
      <c r="I71" s="416">
        <f t="shared" si="7"/>
        <v>14</v>
      </c>
      <c r="J71" s="416">
        <f t="shared" si="7"/>
        <v>13</v>
      </c>
      <c r="K71" s="435">
        <f>SUM(G71:J71)</f>
        <v>59</v>
      </c>
      <c r="L71" s="416">
        <f t="shared" si="8"/>
        <v>9</v>
      </c>
      <c r="M71" s="416">
        <f t="shared" si="8"/>
        <v>11</v>
      </c>
      <c r="N71" s="416">
        <f t="shared" si="8"/>
        <v>9</v>
      </c>
      <c r="O71" s="416">
        <f t="shared" si="8"/>
        <v>9</v>
      </c>
      <c r="P71" s="435">
        <f>SUM(L71:O71)</f>
        <v>38</v>
      </c>
      <c r="Q71" s="416">
        <f t="shared" si="9"/>
        <v>7</v>
      </c>
      <c r="R71" s="416">
        <f t="shared" si="9"/>
        <v>7</v>
      </c>
      <c r="S71" s="416">
        <f t="shared" si="9"/>
        <v>7</v>
      </c>
      <c r="T71" s="416">
        <f t="shared" si="9"/>
        <v>9</v>
      </c>
      <c r="U71" s="435">
        <f>SUM(Q71:T71)</f>
        <v>30</v>
      </c>
      <c r="Z71" s="435"/>
    </row>
    <row r="72" spans="1:26" ht="15.75">
      <c r="G72" s="416">
        <f t="shared" si="7"/>
        <v>1</v>
      </c>
      <c r="H72" s="416">
        <f t="shared" si="7"/>
        <v>5</v>
      </c>
      <c r="I72" s="416">
        <f t="shared" si="7"/>
        <v>0</v>
      </c>
      <c r="J72" s="416">
        <f t="shared" si="7"/>
        <v>3</v>
      </c>
      <c r="K72" s="435">
        <f>SUM(G72:J72)</f>
        <v>9</v>
      </c>
      <c r="L72" s="416">
        <f t="shared" si="8"/>
        <v>2</v>
      </c>
      <c r="M72" s="416">
        <f t="shared" si="8"/>
        <v>4</v>
      </c>
      <c r="N72" s="416">
        <f t="shared" si="8"/>
        <v>3</v>
      </c>
      <c r="O72" s="416">
        <f t="shared" si="8"/>
        <v>0</v>
      </c>
      <c r="P72" s="435">
        <f>SUM(L72:O72)</f>
        <v>9</v>
      </c>
      <c r="Q72" s="416">
        <f t="shared" si="9"/>
        <v>1</v>
      </c>
      <c r="R72" s="416">
        <f t="shared" si="9"/>
        <v>1</v>
      </c>
      <c r="S72" s="416">
        <f t="shared" si="9"/>
        <v>3</v>
      </c>
      <c r="T72" s="416">
        <f t="shared" si="9"/>
        <v>1</v>
      </c>
      <c r="U72" s="435">
        <f>SUM(Q72:T72)</f>
        <v>6</v>
      </c>
      <c r="Z72" s="435"/>
    </row>
    <row r="73" spans="1:26" ht="15.75">
      <c r="G73" s="417">
        <f t="shared" ref="G73:U73" si="10">G72/G71</f>
        <v>6.6666666666666666E-2</v>
      </c>
      <c r="H73" s="417">
        <f t="shared" si="10"/>
        <v>0.29411764705882354</v>
      </c>
      <c r="I73" s="417">
        <f t="shared" si="10"/>
        <v>0</v>
      </c>
      <c r="J73" s="417">
        <f t="shared" si="10"/>
        <v>0.23076923076923078</v>
      </c>
      <c r="K73" s="436">
        <f t="shared" si="10"/>
        <v>0.15254237288135594</v>
      </c>
      <c r="L73" s="417">
        <f t="shared" si="10"/>
        <v>0.22222222222222221</v>
      </c>
      <c r="M73" s="417">
        <f t="shared" si="10"/>
        <v>0.36363636363636365</v>
      </c>
      <c r="N73" s="417">
        <f t="shared" si="10"/>
        <v>0.33333333333333331</v>
      </c>
      <c r="O73" s="417">
        <f t="shared" si="10"/>
        <v>0</v>
      </c>
      <c r="P73" s="436">
        <f t="shared" si="10"/>
        <v>0.23684210526315788</v>
      </c>
      <c r="Q73" s="417">
        <f t="shared" si="10"/>
        <v>0.14285714285714285</v>
      </c>
      <c r="R73" s="417">
        <f t="shared" si="10"/>
        <v>0.14285714285714285</v>
      </c>
      <c r="S73" s="417">
        <f t="shared" si="10"/>
        <v>0.42857142857142855</v>
      </c>
      <c r="T73" s="417">
        <f t="shared" si="10"/>
        <v>0.1111111111111111</v>
      </c>
      <c r="U73" s="436">
        <f t="shared" si="10"/>
        <v>0.2</v>
      </c>
      <c r="Z73" s="436"/>
    </row>
    <row r="74" spans="1:26" ht="15.75">
      <c r="G74" s="419">
        <f t="shared" ref="G74:U74" si="11">G70/G71</f>
        <v>5.1333333333333337</v>
      </c>
      <c r="H74" s="419">
        <f t="shared" si="11"/>
        <v>5.0588235294117645</v>
      </c>
      <c r="I74" s="419">
        <f t="shared" si="11"/>
        <v>6.2142857142857144</v>
      </c>
      <c r="J74" s="419">
        <f t="shared" si="11"/>
        <v>6.7692307692307692</v>
      </c>
      <c r="K74" s="437">
        <f t="shared" si="11"/>
        <v>5.7288135593220337</v>
      </c>
      <c r="L74" s="419">
        <f t="shared" si="11"/>
        <v>2.8888888888888888</v>
      </c>
      <c r="M74" s="419">
        <f t="shared" si="11"/>
        <v>4.2727272727272725</v>
      </c>
      <c r="N74" s="419">
        <f t="shared" si="11"/>
        <v>2.2222222222222223</v>
      </c>
      <c r="O74" s="419">
        <f t="shared" si="11"/>
        <v>4.8888888888888893</v>
      </c>
      <c r="P74" s="437">
        <f t="shared" si="11"/>
        <v>3.6052631578947367</v>
      </c>
      <c r="Q74" s="419">
        <f t="shared" si="11"/>
        <v>3.4285714285714284</v>
      </c>
      <c r="R74" s="419">
        <f t="shared" si="11"/>
        <v>2.8571428571428572</v>
      </c>
      <c r="S74" s="419">
        <f t="shared" si="11"/>
        <v>2.5714285714285716</v>
      </c>
      <c r="T74" s="419">
        <f t="shared" si="11"/>
        <v>4.8888888888888893</v>
      </c>
      <c r="U74" s="437">
        <f t="shared" si="11"/>
        <v>3.5333333333333332</v>
      </c>
      <c r="Z74" s="437"/>
    </row>
    <row r="75" spans="1:26" ht="15.75">
      <c r="G75" s="419">
        <f t="shared" ref="G75:U75" si="12">G70/(G71-G72)</f>
        <v>5.5</v>
      </c>
      <c r="H75" s="419">
        <f t="shared" si="12"/>
        <v>7.166666666666667</v>
      </c>
      <c r="I75" s="419">
        <f t="shared" si="12"/>
        <v>6.2142857142857144</v>
      </c>
      <c r="J75" s="419">
        <f t="shared" si="12"/>
        <v>8.8000000000000007</v>
      </c>
      <c r="K75" s="437">
        <f t="shared" si="12"/>
        <v>6.76</v>
      </c>
      <c r="L75" s="419">
        <f t="shared" si="12"/>
        <v>3.7142857142857144</v>
      </c>
      <c r="M75" s="419">
        <f t="shared" si="12"/>
        <v>6.7142857142857144</v>
      </c>
      <c r="N75" s="419">
        <f t="shared" si="12"/>
        <v>3.3333333333333335</v>
      </c>
      <c r="O75" s="419">
        <f t="shared" si="12"/>
        <v>4.8888888888888893</v>
      </c>
      <c r="P75" s="437">
        <f t="shared" si="12"/>
        <v>4.7241379310344831</v>
      </c>
      <c r="Q75" s="419">
        <f t="shared" si="12"/>
        <v>4</v>
      </c>
      <c r="R75" s="419">
        <f t="shared" si="12"/>
        <v>3.3333333333333335</v>
      </c>
      <c r="S75" s="419">
        <f t="shared" si="12"/>
        <v>4.5</v>
      </c>
      <c r="T75" s="419">
        <f t="shared" si="12"/>
        <v>5.5</v>
      </c>
      <c r="U75" s="437">
        <f t="shared" si="12"/>
        <v>4.416666666666667</v>
      </c>
      <c r="Z75" s="437"/>
    </row>
  </sheetData>
  <mergeCells count="12">
    <mergeCell ref="AF1:AI1"/>
    <mergeCell ref="G69:J69"/>
    <mergeCell ref="L69:O69"/>
    <mergeCell ref="Q69:T69"/>
    <mergeCell ref="Q1:T1"/>
    <mergeCell ref="AA1:AD1"/>
    <mergeCell ref="B61:E61"/>
    <mergeCell ref="V61:Y61"/>
    <mergeCell ref="B1:E1"/>
    <mergeCell ref="V1:Y1"/>
    <mergeCell ref="G1:J1"/>
    <mergeCell ref="L1:O1"/>
  </mergeCells>
  <pageMargins left="0.25" right="0.25" top="0.75" bottom="0.75" header="0.3" footer="0.3"/>
  <pageSetup paperSize="9" scale="54" orientation="landscape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workbookViewId="0"/>
  </sheetViews>
  <sheetFormatPr baseColWidth="10" defaultRowHeight="15"/>
  <cols>
    <col min="1" max="1" width="33.42578125" style="106" bestFit="1" customWidth="1"/>
    <col min="2" max="2" width="6.28515625" style="106" bestFit="1" customWidth="1"/>
    <col min="3" max="3" width="5.85546875" style="106" bestFit="1" customWidth="1"/>
    <col min="4" max="4" width="6.42578125" style="106" bestFit="1" customWidth="1"/>
    <col min="5" max="5" width="7.42578125" style="106" bestFit="1" customWidth="1"/>
    <col min="6" max="6" width="7" style="106" bestFit="1" customWidth="1"/>
    <col min="7" max="7" width="6.28515625" style="106" bestFit="1" customWidth="1"/>
    <col min="8" max="8" width="6.42578125" style="106" bestFit="1" customWidth="1"/>
    <col min="9" max="9" width="7" style="106" bestFit="1" customWidth="1"/>
    <col min="10" max="10" width="6.42578125" style="106" bestFit="1" customWidth="1"/>
    <col min="11" max="11" width="7.42578125" style="106" bestFit="1" customWidth="1"/>
    <col min="12" max="12" width="7" style="106" bestFit="1" customWidth="1"/>
    <col min="13" max="13" width="6.28515625" style="106" bestFit="1" customWidth="1"/>
    <col min="14" max="14" width="6.42578125" style="106" bestFit="1" customWidth="1"/>
    <col min="15" max="15" width="7" style="106" bestFit="1" customWidth="1"/>
    <col min="16" max="16" width="6.42578125" style="106" bestFit="1" customWidth="1"/>
    <col min="17" max="17" width="6.140625" style="106" bestFit="1" customWidth="1"/>
    <col min="18" max="18" width="7" style="106" bestFit="1" customWidth="1"/>
    <col min="19" max="19" width="6.140625" style="106" bestFit="1" customWidth="1"/>
    <col min="20" max="20" width="6.42578125" style="106" bestFit="1" customWidth="1"/>
    <col min="21" max="21" width="7" style="106" bestFit="1" customWidth="1"/>
    <col min="22" max="22" width="6.42578125" style="106" bestFit="1" customWidth="1"/>
    <col min="23" max="23" width="6.28515625" style="106" bestFit="1" customWidth="1"/>
    <col min="24" max="24" width="6.85546875" style="106" bestFit="1" customWidth="1"/>
    <col min="25" max="25" width="6" style="106" bestFit="1" customWidth="1"/>
    <col min="26" max="26" width="6.28515625" style="106" bestFit="1" customWidth="1"/>
    <col min="27" max="27" width="7.42578125" style="106" bestFit="1" customWidth="1"/>
    <col min="28" max="28" width="6.28515625" style="106" bestFit="1" customWidth="1"/>
    <col min="29" max="29" width="6" style="106" bestFit="1" customWidth="1"/>
    <col min="30" max="30" width="11.7109375" style="106" bestFit="1" customWidth="1"/>
    <col min="31" max="31" width="11.42578125" style="106"/>
    <col min="32" max="32" width="11.5703125" style="106" bestFit="1" customWidth="1"/>
    <col min="33" max="33" width="11.7109375" style="106" bestFit="1" customWidth="1"/>
    <col min="34" max="16384" width="11.42578125" style="106"/>
  </cols>
  <sheetData>
    <row r="1" spans="1:29" ht="119.25" customHeight="1">
      <c r="A1" s="650"/>
      <c r="B1" s="1382" t="s">
        <v>239</v>
      </c>
      <c r="C1" s="1383" t="s">
        <v>240</v>
      </c>
      <c r="D1" s="1581" t="s">
        <v>117</v>
      </c>
      <c r="E1" s="1581"/>
      <c r="F1" s="1588" t="s">
        <v>130</v>
      </c>
      <c r="G1" s="1588"/>
      <c r="H1" s="1593" t="s">
        <v>97</v>
      </c>
      <c r="I1" s="1593"/>
      <c r="J1" s="1592" t="s">
        <v>103</v>
      </c>
      <c r="K1" s="1592"/>
      <c r="L1" s="1561" t="s">
        <v>144</v>
      </c>
      <c r="M1" s="1561"/>
      <c r="N1" s="1585" t="s">
        <v>131</v>
      </c>
      <c r="O1" s="1585"/>
      <c r="P1" s="1586" t="s">
        <v>138</v>
      </c>
      <c r="Q1" s="1586"/>
      <c r="R1" s="1587" t="s">
        <v>92</v>
      </c>
      <c r="S1" s="1587"/>
      <c r="T1" s="1562" t="s">
        <v>155</v>
      </c>
      <c r="U1" s="1562"/>
      <c r="V1" s="1559" t="s">
        <v>145</v>
      </c>
      <c r="W1" s="1559"/>
      <c r="X1" s="1565" t="s">
        <v>146</v>
      </c>
      <c r="Y1" s="1565"/>
      <c r="Z1" s="1564" t="s">
        <v>105</v>
      </c>
      <c r="AA1" s="1564"/>
      <c r="AB1" s="1564" t="s">
        <v>112</v>
      </c>
      <c r="AC1" s="1564"/>
    </row>
    <row r="2" spans="1:29" s="1310" customFormat="1" ht="20.25" customHeight="1">
      <c r="A2" s="1309" t="s">
        <v>61</v>
      </c>
      <c r="B2" s="1387"/>
      <c r="C2" s="1388"/>
      <c r="D2" s="1570">
        <v>1</v>
      </c>
      <c r="E2" s="1570"/>
      <c r="F2" s="1571">
        <v>2</v>
      </c>
      <c r="G2" s="1571"/>
      <c r="H2" s="1572">
        <v>3</v>
      </c>
      <c r="I2" s="1572"/>
      <c r="J2" s="1573">
        <v>4</v>
      </c>
      <c r="K2" s="1573"/>
      <c r="L2" s="1575">
        <v>5</v>
      </c>
      <c r="M2" s="1575"/>
      <c r="N2" s="1589">
        <v>6</v>
      </c>
      <c r="O2" s="1589"/>
      <c r="P2" s="1590">
        <v>7</v>
      </c>
      <c r="Q2" s="1590"/>
      <c r="R2" s="1591">
        <v>8</v>
      </c>
      <c r="S2" s="1591"/>
      <c r="T2" s="1574">
        <v>9</v>
      </c>
      <c r="U2" s="1574"/>
      <c r="V2" s="1558">
        <v>10</v>
      </c>
      <c r="W2" s="1558"/>
      <c r="X2" s="1563">
        <v>11</v>
      </c>
      <c r="Y2" s="1563"/>
      <c r="Z2" s="1560">
        <v>12</v>
      </c>
      <c r="AA2" s="1560"/>
      <c r="AB2" s="1560">
        <v>13</v>
      </c>
      <c r="AC2" s="1560"/>
    </row>
    <row r="3" spans="1:29" ht="15.75">
      <c r="A3" s="1384" t="s">
        <v>46</v>
      </c>
      <c r="B3" s="1385">
        <f>MAX(N3,D3,F3,H3,J3,L3,P3,R3,T3,V3,X3,Z3,AB3)</f>
        <v>0.76</v>
      </c>
      <c r="C3" s="1389">
        <f>MIN(N3,D3,F3,H3,J3,L3,P3,R3,T3,V3,X3,Z3,AB3)</f>
        <v>8.3333333333333329E-2</v>
      </c>
      <c r="D3" s="1378">
        <v>0.76</v>
      </c>
      <c r="E3" s="1312">
        <v>1</v>
      </c>
      <c r="F3" s="1314">
        <v>0.56000000000000005</v>
      </c>
      <c r="G3" s="1312">
        <v>0.73684210526315796</v>
      </c>
      <c r="H3" s="1320">
        <v>0.56000000000000005</v>
      </c>
      <c r="I3" s="1312">
        <v>0.73684210526315796</v>
      </c>
      <c r="J3" s="1327">
        <v>0.59259259259259256</v>
      </c>
      <c r="K3" s="1312">
        <v>0.77972709551656916</v>
      </c>
      <c r="L3" s="1339">
        <v>0.5</v>
      </c>
      <c r="M3" s="1312">
        <v>0.65789473684210531</v>
      </c>
      <c r="N3" s="1345">
        <v>0.52941176470588236</v>
      </c>
      <c r="O3" s="1312">
        <v>0.69659442724458209</v>
      </c>
      <c r="P3" s="1350">
        <v>0.47058823529411764</v>
      </c>
      <c r="Q3" s="1312">
        <v>0.61919504643962842</v>
      </c>
      <c r="R3" s="1356">
        <v>0.5</v>
      </c>
      <c r="S3" s="1312">
        <v>0.65789473684210531</v>
      </c>
      <c r="T3" s="1333">
        <v>0.58823529411764708</v>
      </c>
      <c r="U3" s="1312">
        <v>0.77399380804953566</v>
      </c>
      <c r="V3" s="1361">
        <v>0.5</v>
      </c>
      <c r="W3" s="1312">
        <v>0.65789473684210531</v>
      </c>
      <c r="X3" s="1367">
        <v>0.2857142857142857</v>
      </c>
      <c r="Y3" s="1312">
        <v>0.37593984962406013</v>
      </c>
      <c r="Z3" s="1371">
        <v>0.1875</v>
      </c>
      <c r="AA3" s="1312">
        <v>0.24671052631578946</v>
      </c>
      <c r="AB3" s="1432">
        <v>8.3333333333333329E-2</v>
      </c>
      <c r="AC3" s="1312">
        <v>0.10964912280701754</v>
      </c>
    </row>
    <row r="4" spans="1:29" ht="15.75">
      <c r="A4" s="1384" t="s">
        <v>43</v>
      </c>
      <c r="B4" s="1386">
        <f>MIN(N4,D4,F4,H4,J4,L4,P4,R4,T4,V4,X4,Z4,AB4)</f>
        <v>7.6315789473684212</v>
      </c>
      <c r="C4" s="1390">
        <f>MAX(N4,D4,F4,H4,J4,L4,P4,R4,T4,V4,X4,Z4,AB4)</f>
        <v>13.555555555555555</v>
      </c>
      <c r="D4" s="1308">
        <v>7.6315789473684212</v>
      </c>
      <c r="E4" s="835">
        <v>1</v>
      </c>
      <c r="F4" s="1316">
        <v>8.5</v>
      </c>
      <c r="G4" s="835">
        <v>0.89783281733746134</v>
      </c>
      <c r="H4" s="1321">
        <v>9.5714285714285712</v>
      </c>
      <c r="I4" s="835">
        <v>0.79732914375490971</v>
      </c>
      <c r="J4" s="1328">
        <v>8</v>
      </c>
      <c r="K4" s="835">
        <v>0.95394736842105265</v>
      </c>
      <c r="L4" s="1340">
        <v>12.444444444444445</v>
      </c>
      <c r="M4" s="835">
        <v>0.6132518796992481</v>
      </c>
      <c r="N4" s="1433">
        <v>13.555555555555555</v>
      </c>
      <c r="O4" s="835">
        <v>0.56298533218291635</v>
      </c>
      <c r="P4" s="1351">
        <v>7.75</v>
      </c>
      <c r="Q4" s="835">
        <v>0.98471986417657054</v>
      </c>
      <c r="R4" s="1315">
        <v>7.7142857142857144</v>
      </c>
      <c r="S4" s="835">
        <v>0.9892787524366472</v>
      </c>
      <c r="T4" s="1334">
        <v>9.5</v>
      </c>
      <c r="U4" s="835">
        <v>0.80332409972299168</v>
      </c>
      <c r="V4" s="1362">
        <v>9.8571428571428577</v>
      </c>
      <c r="W4" s="835">
        <v>0.77421815408085426</v>
      </c>
      <c r="X4" s="1368">
        <v>10.25</v>
      </c>
      <c r="Y4" s="835">
        <v>0.74454428754813862</v>
      </c>
      <c r="Z4" s="1372">
        <v>10.666666666666666</v>
      </c>
      <c r="AA4" s="835">
        <v>0.71546052631578949</v>
      </c>
      <c r="AB4" s="1372">
        <v>9</v>
      </c>
      <c r="AC4" s="835">
        <v>0.84795321637426901</v>
      </c>
    </row>
    <row r="5" spans="1:29" ht="15.75">
      <c r="A5" s="1384" t="s">
        <v>41</v>
      </c>
      <c r="B5" s="1386">
        <f>MAX(N5,D5,F5,H5,J5,L5,P5,R5,T5,V5,X5,Z5,AB5)</f>
        <v>48</v>
      </c>
      <c r="C5" s="1390">
        <f>MIN(N5,D5,F5,H5,J5,L5,P5,R5,T5,V5,X5,Z5,AB5)</f>
        <v>30.916666666666668</v>
      </c>
      <c r="D5" s="1308">
        <v>48</v>
      </c>
      <c r="E5" s="835">
        <v>1</v>
      </c>
      <c r="F5" s="1315">
        <v>44.52</v>
      </c>
      <c r="G5" s="835">
        <v>0.9275000000000001</v>
      </c>
      <c r="H5" s="1322">
        <v>42.8</v>
      </c>
      <c r="I5" s="835">
        <v>0.89166666666666661</v>
      </c>
      <c r="J5" s="1329">
        <v>44.370370370370374</v>
      </c>
      <c r="K5" s="835">
        <v>0.92438271604938282</v>
      </c>
      <c r="L5" s="1341">
        <v>38.5</v>
      </c>
      <c r="M5" s="835">
        <v>0.80208333333333337</v>
      </c>
      <c r="N5" s="1346">
        <v>41.588235294117645</v>
      </c>
      <c r="O5" s="835">
        <v>0.8664215686274509</v>
      </c>
      <c r="P5" s="1352">
        <v>43.294117647058826</v>
      </c>
      <c r="Q5" s="835">
        <v>0.90196078431372551</v>
      </c>
      <c r="R5" s="1357">
        <v>40.5</v>
      </c>
      <c r="S5" s="835">
        <v>0.84375</v>
      </c>
      <c r="T5" s="1335">
        <v>44.705882352941174</v>
      </c>
      <c r="U5" s="835">
        <v>0.93137254901960775</v>
      </c>
      <c r="V5" s="1363">
        <v>45.071428571428569</v>
      </c>
      <c r="W5" s="835">
        <v>0.93898809523809523</v>
      </c>
      <c r="X5" s="1368">
        <v>41.285714285714285</v>
      </c>
      <c r="Y5" s="835">
        <v>0.86011904761904756</v>
      </c>
      <c r="Z5" s="1323">
        <v>36.875</v>
      </c>
      <c r="AA5" s="835">
        <v>0.76822916666666663</v>
      </c>
      <c r="AB5" s="1434">
        <v>30.916666666666668</v>
      </c>
      <c r="AC5" s="835">
        <v>0.64409722222222221</v>
      </c>
    </row>
    <row r="6" spans="1:29" ht="15.75">
      <c r="A6" s="1384" t="s">
        <v>40</v>
      </c>
      <c r="B6" s="1386">
        <f>MAX(N6,D6,F6,H6,J6,L6,P6,R6,T6,V6,X6,Z6,AB6)</f>
        <v>6.3157894736842106</v>
      </c>
      <c r="C6" s="1390">
        <f>MIN(N6,D6,F6,H6,J6,L6,P6,R6,T6,V6,X6,Z6,AB6)</f>
        <v>3.5</v>
      </c>
      <c r="D6" s="1308">
        <v>6.3157894736842106</v>
      </c>
      <c r="E6" s="832">
        <v>1</v>
      </c>
      <c r="F6" s="1316">
        <v>5.3768115942028984</v>
      </c>
      <c r="G6" s="832">
        <v>0.85132850241545888</v>
      </c>
      <c r="H6" s="1323">
        <v>4.8198198198198199</v>
      </c>
      <c r="I6" s="832">
        <v>0.76313813813813813</v>
      </c>
      <c r="J6" s="1315">
        <v>5.732057416267943</v>
      </c>
      <c r="K6" s="832">
        <v>0.90757575757575759</v>
      </c>
      <c r="L6" s="1341">
        <v>4.0764705882352938</v>
      </c>
      <c r="M6" s="832">
        <v>0.64544117647058818</v>
      </c>
      <c r="N6" s="1346">
        <v>3.8216216216216217</v>
      </c>
      <c r="O6" s="832">
        <v>0.60509009009009007</v>
      </c>
      <c r="P6" s="1352">
        <v>4.779220779220779</v>
      </c>
      <c r="Q6" s="832">
        <v>0.75670995670995667</v>
      </c>
      <c r="R6" s="1357">
        <v>4.4645669291338583</v>
      </c>
      <c r="S6" s="832">
        <v>0.70688976377952761</v>
      </c>
      <c r="T6" s="1335">
        <v>5.5072463768115938</v>
      </c>
      <c r="U6" s="832">
        <v>0.87198067632850229</v>
      </c>
      <c r="V6" s="1363">
        <v>4.3517241379310345</v>
      </c>
      <c r="W6" s="832">
        <v>0.68902298850574717</v>
      </c>
      <c r="X6" s="1368">
        <v>4.1884057971014492</v>
      </c>
      <c r="Y6" s="832">
        <v>0.66316425120772948</v>
      </c>
      <c r="Z6" s="1323">
        <v>4.3703703703703702</v>
      </c>
      <c r="AA6" s="832">
        <v>0.69197530864197532</v>
      </c>
      <c r="AB6" s="1434">
        <v>3.5</v>
      </c>
      <c r="AC6" s="832">
        <v>0.5541666666666667</v>
      </c>
    </row>
    <row r="7" spans="1:29" ht="15.75">
      <c r="A7" s="1384" t="s">
        <v>34</v>
      </c>
      <c r="B7" s="1385">
        <f>MAX(N7,D7,F7,H7,J7,L7,P7,R7,T7,V7,X7,Z7,AB7)</f>
        <v>0.6</v>
      </c>
      <c r="C7" s="1389">
        <f>MIN(N7,D7,F7,H7,J7,L7,P7,R7,T7,V7,X7,Z7,AB7)</f>
        <v>0.18181818181818182</v>
      </c>
      <c r="D7" s="1379">
        <v>0.5</v>
      </c>
      <c r="E7" s="832">
        <v>0.83333333333333337</v>
      </c>
      <c r="F7" s="1317">
        <v>0.34146341463414637</v>
      </c>
      <c r="G7" s="832">
        <v>0.56910569105691067</v>
      </c>
      <c r="H7" s="1324">
        <v>0.34146341463414637</v>
      </c>
      <c r="I7" s="832">
        <v>0.56910569105691067</v>
      </c>
      <c r="J7" s="1330">
        <v>0.30612244897959184</v>
      </c>
      <c r="K7" s="832">
        <v>0.51020408163265307</v>
      </c>
      <c r="L7" s="1342">
        <v>0.24324324324324326</v>
      </c>
      <c r="M7" s="832">
        <v>0.40540540540540543</v>
      </c>
      <c r="N7" s="1347">
        <v>0.21951219512195122</v>
      </c>
      <c r="O7" s="832">
        <v>0.36585365853658536</v>
      </c>
      <c r="P7" s="1353">
        <v>0.24242424242424243</v>
      </c>
      <c r="Q7" s="832">
        <v>0.40404040404040409</v>
      </c>
      <c r="R7" s="1358">
        <v>0.2608695652173913</v>
      </c>
      <c r="S7" s="832">
        <v>0.43478260869565216</v>
      </c>
      <c r="T7" s="1336">
        <v>0.37037037037037035</v>
      </c>
      <c r="U7" s="832">
        <v>0.61728395061728392</v>
      </c>
      <c r="V7" s="1364">
        <v>0.20689655172413793</v>
      </c>
      <c r="W7" s="832">
        <v>0.34482758620689657</v>
      </c>
      <c r="X7" s="1435">
        <v>0.18181818181818182</v>
      </c>
      <c r="Y7" s="832">
        <v>0.30303030303030304</v>
      </c>
      <c r="Z7" s="1376">
        <v>0.6</v>
      </c>
      <c r="AA7" s="832">
        <v>1</v>
      </c>
      <c r="AB7" s="1373">
        <v>0.33333333333333331</v>
      </c>
      <c r="AC7" s="832">
        <v>0.55555555555555558</v>
      </c>
    </row>
    <row r="8" spans="1:29" ht="15.75">
      <c r="A8" s="1384" t="s">
        <v>29</v>
      </c>
      <c r="B8" s="1385">
        <f>MIN(N8,D8,F8,H8,J8,L8,P8,R8,T8,V8,X8,Z8,AB8)</f>
        <v>0.11578947368421053</v>
      </c>
      <c r="C8" s="1389">
        <f>MAX(N8,D8,F8,H8,J8,L8,P8,R8,T8,V8,X8,Z8,AB8)</f>
        <v>0.32075471698113206</v>
      </c>
      <c r="D8" s="1380">
        <v>0.11578947368421053</v>
      </c>
      <c r="E8" s="835">
        <v>1</v>
      </c>
      <c r="F8" s="1318">
        <v>0.17391304347826086</v>
      </c>
      <c r="G8" s="835">
        <v>0.66578947368421049</v>
      </c>
      <c r="H8" s="1325">
        <v>0.16666666666666666</v>
      </c>
      <c r="I8" s="835">
        <v>0.69473684210526321</v>
      </c>
      <c r="J8" s="1331">
        <v>0.17703349282296652</v>
      </c>
      <c r="K8" s="835">
        <v>0.65405405405405403</v>
      </c>
      <c r="L8" s="1343">
        <v>0.21764705882352942</v>
      </c>
      <c r="M8" s="835">
        <v>0.53200568990042674</v>
      </c>
      <c r="N8" s="1348">
        <v>0.1891891891891892</v>
      </c>
      <c r="O8" s="835">
        <v>0.61203007518796992</v>
      </c>
      <c r="P8" s="1354">
        <v>0.18831168831168832</v>
      </c>
      <c r="Q8" s="835">
        <v>0.61488203266787655</v>
      </c>
      <c r="R8" s="1359">
        <v>0.2283464566929134</v>
      </c>
      <c r="S8" s="835">
        <v>0.50707803992740474</v>
      </c>
      <c r="T8" s="1337">
        <v>0.17391304347826086</v>
      </c>
      <c r="U8" s="835">
        <v>0.66578947368421049</v>
      </c>
      <c r="V8" s="1365">
        <v>0.2620689655172414</v>
      </c>
      <c r="W8" s="835">
        <v>0.44182825484764537</v>
      </c>
      <c r="X8" s="1369">
        <v>0.21739130434782608</v>
      </c>
      <c r="Y8" s="835">
        <v>0.53263157894736846</v>
      </c>
      <c r="Z8" s="1324">
        <v>0.22222222222222221</v>
      </c>
      <c r="AA8" s="835">
        <v>0.52105263157894743</v>
      </c>
      <c r="AB8" s="1435">
        <v>0.32075471698113206</v>
      </c>
      <c r="AC8" s="835">
        <v>0.36099071207430344</v>
      </c>
    </row>
    <row r="9" spans="1:29" ht="15.75">
      <c r="A9" s="1384" t="s">
        <v>17</v>
      </c>
      <c r="B9" s="1385">
        <f>MAX(N9,D9,F9,H9,J9,L9,P9,R9,T9,V9,X9,Z9,AB9)</f>
        <v>0.26794258373205743</v>
      </c>
      <c r="C9" s="1389">
        <f>MIN(N9,D9,F9,H9,J9,L9,P9,R9,T9,V9,X9,Z9,AB9)</f>
        <v>8.6614173228346455E-2</v>
      </c>
      <c r="D9" s="1377">
        <v>0.25263157894736843</v>
      </c>
      <c r="E9" s="832">
        <v>0.94285714285714284</v>
      </c>
      <c r="F9" s="1318">
        <v>0.17391304347826086</v>
      </c>
      <c r="G9" s="832">
        <v>0.64906832298136641</v>
      </c>
      <c r="H9" s="1324">
        <v>0.15765765765765766</v>
      </c>
      <c r="I9" s="1375">
        <v>0.58840090090090091</v>
      </c>
      <c r="J9" s="1376">
        <v>0.26794258373205743</v>
      </c>
      <c r="K9" s="832">
        <v>1</v>
      </c>
      <c r="L9" s="1343">
        <v>0.14117647058823529</v>
      </c>
      <c r="M9" s="832">
        <v>0.52689075630252102</v>
      </c>
      <c r="N9" s="1348">
        <v>0.17837837837837839</v>
      </c>
      <c r="O9" s="832">
        <v>0.66573359073359073</v>
      </c>
      <c r="P9" s="1354">
        <v>0.12337662337662338</v>
      </c>
      <c r="Q9" s="832">
        <v>0.46045918367346939</v>
      </c>
      <c r="R9" s="1435">
        <v>8.6614173228346455E-2</v>
      </c>
      <c r="S9" s="832">
        <v>0.32325646794150731</v>
      </c>
      <c r="T9" s="1325">
        <v>0.2608695652173913</v>
      </c>
      <c r="U9" s="832">
        <v>0.97360248447204967</v>
      </c>
      <c r="V9" s="1365">
        <v>0.1103448275862069</v>
      </c>
      <c r="W9" s="832">
        <v>0.41182266009852214</v>
      </c>
      <c r="X9" s="1369">
        <v>0.13043478260869565</v>
      </c>
      <c r="Y9" s="832">
        <v>0.48680124223602483</v>
      </c>
      <c r="Z9" s="1324">
        <v>0.10370370370370371</v>
      </c>
      <c r="AA9" s="832">
        <v>0.38703703703703707</v>
      </c>
      <c r="AB9" s="1324">
        <v>0.20754716981132076</v>
      </c>
      <c r="AC9" s="832">
        <v>0.77459568733153639</v>
      </c>
    </row>
    <row r="10" spans="1:29" ht="15.75">
      <c r="A10" s="1391" t="s">
        <v>15</v>
      </c>
      <c r="B10" s="1392">
        <f>MAX(N10,D10,F10,H10,J10,L10,P10,R10,T10,V10,X10,Z10,AB10)</f>
        <v>11.357142857142858</v>
      </c>
      <c r="C10" s="1393">
        <f>MIN(N10,D10,F10,H10,J10,L10,P10,R10,T10,V10,X10,Z10,AB10)</f>
        <v>4.125</v>
      </c>
      <c r="D10" s="1381">
        <v>11.071428571428571</v>
      </c>
      <c r="E10" s="1313">
        <v>0.97484276729559738</v>
      </c>
      <c r="F10" s="1319">
        <v>9.5833333333333339</v>
      </c>
      <c r="G10" s="1313">
        <v>0.84381551362683438</v>
      </c>
      <c r="H10" s="1326">
        <v>9.384615384615385</v>
      </c>
      <c r="I10" s="1313">
        <v>0.82631833575229796</v>
      </c>
      <c r="J10" s="1332">
        <v>11.357142857142858</v>
      </c>
      <c r="K10" s="1313">
        <v>1</v>
      </c>
      <c r="L10" s="1344">
        <v>9.1111111111111107</v>
      </c>
      <c r="M10" s="1313">
        <v>0.80223619846261351</v>
      </c>
      <c r="N10" s="1349">
        <v>7.7142857142857144</v>
      </c>
      <c r="O10" s="1313">
        <v>0.67924528301886788</v>
      </c>
      <c r="P10" s="1355">
        <v>7.5555555555555554</v>
      </c>
      <c r="Q10" s="1313">
        <v>0.66526904262753317</v>
      </c>
      <c r="R10" s="1360">
        <v>6</v>
      </c>
      <c r="S10" s="1313">
        <v>0.52830188679245282</v>
      </c>
      <c r="T10" s="1338">
        <v>11</v>
      </c>
      <c r="U10" s="1313">
        <v>0.96855345911949686</v>
      </c>
      <c r="V10" s="1366">
        <v>8.2222222222222214</v>
      </c>
      <c r="W10" s="1313">
        <v>0.72396925227113895</v>
      </c>
      <c r="X10" s="1370">
        <v>8.5</v>
      </c>
      <c r="Y10" s="1313">
        <v>0.74842767295597479</v>
      </c>
      <c r="Z10" s="1436">
        <v>4.125</v>
      </c>
      <c r="AA10" s="1313">
        <v>0.3632075471698113</v>
      </c>
      <c r="AB10" s="1374">
        <v>10</v>
      </c>
      <c r="AC10" s="1313">
        <v>0.88050314465408797</v>
      </c>
    </row>
    <row r="11" spans="1:29" s="1311" customFormat="1" ht="21" thickBot="1">
      <c r="A11" s="1394" t="s">
        <v>14</v>
      </c>
      <c r="B11" s="1395"/>
      <c r="C11" s="1396"/>
      <c r="D11" s="1576">
        <v>0.9688791554357592</v>
      </c>
      <c r="E11" s="1576"/>
      <c r="F11" s="1578">
        <v>0.76766030329567514</v>
      </c>
      <c r="G11" s="1578"/>
      <c r="H11" s="1569">
        <v>0.73344222795478065</v>
      </c>
      <c r="I11" s="1569"/>
      <c r="J11" s="1577">
        <v>0.84123638415618374</v>
      </c>
      <c r="K11" s="1577"/>
      <c r="L11" s="1580">
        <v>0.62315114705203023</v>
      </c>
      <c r="M11" s="1580"/>
      <c r="N11" s="1582">
        <v>0.63174425320275662</v>
      </c>
      <c r="O11" s="1582"/>
      <c r="P11" s="1583">
        <v>0.67590453933114547</v>
      </c>
      <c r="Q11" s="1583"/>
      <c r="R11" s="1584">
        <v>0.62390403205191214</v>
      </c>
      <c r="S11" s="1584"/>
      <c r="T11" s="1579">
        <v>0.82573756262670983</v>
      </c>
      <c r="U11" s="1579"/>
      <c r="V11" s="1566">
        <v>0.62282146601137556</v>
      </c>
      <c r="W11" s="1566"/>
      <c r="X11" s="1567">
        <v>0.58933227914608088</v>
      </c>
      <c r="Y11" s="1567"/>
      <c r="Z11" s="1568">
        <v>0.58670909296575213</v>
      </c>
      <c r="AA11" s="1568"/>
      <c r="AB11" s="1569">
        <v>0.59093891596070736</v>
      </c>
      <c r="AC11" s="1569"/>
    </row>
    <row r="12" spans="1:29" ht="15.75" thickTop="1"/>
    <row r="13" spans="1:29" ht="107.25">
      <c r="A13" s="1399"/>
      <c r="B13" s="1400" t="s">
        <v>241</v>
      </c>
      <c r="C13" s="1401" t="s">
        <v>242</v>
      </c>
      <c r="D13" s="1596" t="s">
        <v>216</v>
      </c>
      <c r="E13" s="1596"/>
      <c r="F13" s="1598" t="s">
        <v>117</v>
      </c>
      <c r="G13" s="1598"/>
      <c r="H13" s="1588" t="s">
        <v>130</v>
      </c>
      <c r="I13" s="1588"/>
      <c r="J13" s="1596" t="s">
        <v>210</v>
      </c>
      <c r="K13" s="1596"/>
      <c r="L13" s="1601" t="s">
        <v>215</v>
      </c>
      <c r="M13" s="1601"/>
      <c r="N13" s="1596" t="s">
        <v>209</v>
      </c>
      <c r="O13" s="1596"/>
      <c r="P13" s="1596" t="s">
        <v>214</v>
      </c>
      <c r="Q13" s="1596"/>
      <c r="R13" s="1596" t="s">
        <v>208</v>
      </c>
      <c r="S13" s="1596"/>
      <c r="T13" s="1594" t="s">
        <v>207</v>
      </c>
      <c r="U13" s="1594"/>
      <c r="V13" s="1596" t="s">
        <v>206</v>
      </c>
      <c r="W13" s="1596"/>
    </row>
    <row r="14" spans="1:29" s="1397" customFormat="1" ht="20.25" customHeight="1">
      <c r="A14" s="1402" t="s">
        <v>61</v>
      </c>
      <c r="B14" s="1403"/>
      <c r="C14" s="1403"/>
      <c r="D14" s="1597">
        <v>1</v>
      </c>
      <c r="E14" s="1597"/>
      <c r="F14" s="1599">
        <v>2</v>
      </c>
      <c r="G14" s="1599"/>
      <c r="H14" s="1600">
        <v>3</v>
      </c>
      <c r="I14" s="1600"/>
      <c r="J14" s="1597">
        <v>4</v>
      </c>
      <c r="K14" s="1597"/>
      <c r="L14" s="1602">
        <v>5</v>
      </c>
      <c r="M14" s="1602"/>
      <c r="N14" s="1597">
        <v>6</v>
      </c>
      <c r="O14" s="1597"/>
      <c r="P14" s="1597">
        <v>7</v>
      </c>
      <c r="Q14" s="1597"/>
      <c r="R14" s="1597">
        <v>8</v>
      </c>
      <c r="S14" s="1597"/>
      <c r="T14" s="1595">
        <v>9</v>
      </c>
      <c r="U14" s="1595"/>
      <c r="V14" s="1597">
        <v>10</v>
      </c>
      <c r="W14" s="1597"/>
    </row>
    <row r="15" spans="1:29" ht="15.75">
      <c r="A15" s="1404" t="s">
        <v>46</v>
      </c>
      <c r="B15" s="1405">
        <f>MAX(N15,D15,F15,H15,J15,L15,P15,R15,T15,V15)</f>
        <v>0.68</v>
      </c>
      <c r="C15" s="1406">
        <f>MIN(N15,D15,F15,H15,J15,L15,P15,R15,T15,V15)</f>
        <v>0.2</v>
      </c>
      <c r="D15" s="1407">
        <v>0.66666666666666663</v>
      </c>
      <c r="E15" s="1408">
        <f>D15/$B15</f>
        <v>0.98039215686274495</v>
      </c>
      <c r="F15" s="1409">
        <v>0.68</v>
      </c>
      <c r="G15" s="1408">
        <f>F15/$B15</f>
        <v>1</v>
      </c>
      <c r="H15" s="1407">
        <v>0.6</v>
      </c>
      <c r="I15" s="1408">
        <f>H15/$B15</f>
        <v>0.88235294117647045</v>
      </c>
      <c r="J15" s="1407">
        <v>0.4</v>
      </c>
      <c r="K15" s="1408">
        <f>J15/$B15</f>
        <v>0.58823529411764708</v>
      </c>
      <c r="L15" s="1407">
        <v>0.52380952380952384</v>
      </c>
      <c r="M15" s="1408">
        <f>L15/$B15</f>
        <v>0.77030812324929976</v>
      </c>
      <c r="N15" s="1407">
        <v>0.55000000000000004</v>
      </c>
      <c r="O15" s="1408">
        <f>N15/$B15</f>
        <v>0.80882352941176472</v>
      </c>
      <c r="P15" s="1407">
        <v>0.42857142857142855</v>
      </c>
      <c r="Q15" s="1408">
        <f>P15/$B15</f>
        <v>0.630252100840336</v>
      </c>
      <c r="R15" s="1407">
        <v>0.35</v>
      </c>
      <c r="S15" s="1408">
        <f>R15/$B15</f>
        <v>0.51470588235294112</v>
      </c>
      <c r="T15" s="1407">
        <v>0.35</v>
      </c>
      <c r="U15" s="1408">
        <f>T15/$B15</f>
        <v>0.51470588235294112</v>
      </c>
      <c r="V15" s="1407">
        <v>0.2</v>
      </c>
      <c r="W15" s="1408">
        <f>V15/$B15</f>
        <v>0.29411764705882354</v>
      </c>
    </row>
    <row r="16" spans="1:29" ht="15.75">
      <c r="A16" s="1404" t="s">
        <v>43</v>
      </c>
      <c r="B16" s="1410">
        <f>MIN(N16,D16,F16,H16,J16,L16,P16,R16,T16,V16)</f>
        <v>7.9411764705882355</v>
      </c>
      <c r="C16" s="1411">
        <f>MAX(N16,D16,F16,H16,J16,L16,P16,R16,T16,V16)</f>
        <v>10.285714285714286</v>
      </c>
      <c r="D16" s="1412">
        <v>9.3125</v>
      </c>
      <c r="E16" s="1413">
        <f>$B16/D16</f>
        <v>0.85274378207658907</v>
      </c>
      <c r="F16" s="1414">
        <v>7.9411764705882355</v>
      </c>
      <c r="G16" s="1413">
        <f>$B16/F16</f>
        <v>1</v>
      </c>
      <c r="H16" s="1412">
        <v>10</v>
      </c>
      <c r="I16" s="1413">
        <f>$B16/H16</f>
        <v>0.79411764705882359</v>
      </c>
      <c r="J16" s="1412">
        <v>8</v>
      </c>
      <c r="K16" s="1413">
        <f>$B16/J16</f>
        <v>0.99264705882352944</v>
      </c>
      <c r="L16" s="1412">
        <v>8.3636363636363633</v>
      </c>
      <c r="M16" s="1413">
        <f>$B16/L16</f>
        <v>0.94948849104859345</v>
      </c>
      <c r="N16" s="1412">
        <v>8.9090909090909083</v>
      </c>
      <c r="O16" s="1413">
        <f>$B16/N16</f>
        <v>0.89135654261704689</v>
      </c>
      <c r="P16" s="1412">
        <v>9</v>
      </c>
      <c r="Q16" s="1413">
        <f>$B16/P16</f>
        <v>0.88235294117647056</v>
      </c>
      <c r="R16" s="1412">
        <v>10.285714285714286</v>
      </c>
      <c r="S16" s="1413">
        <f>$B16/R16</f>
        <v>0.77205882352941169</v>
      </c>
      <c r="T16" s="1412">
        <v>9.1428571428571423</v>
      </c>
      <c r="U16" s="1413">
        <f>$B16/T16</f>
        <v>0.86856617647058831</v>
      </c>
      <c r="V16" s="1412">
        <v>8.25</v>
      </c>
      <c r="W16" s="1413">
        <f>$B16/V16</f>
        <v>0.96256684491978617</v>
      </c>
    </row>
    <row r="17" spans="1:23" ht="15.75">
      <c r="A17" s="1404" t="s">
        <v>41</v>
      </c>
      <c r="B17" s="1410">
        <f t="shared" ref="B17:B24" si="0">MAX(N17,D17,F17,H17,J17,L17,P17,R17,T17,V17)</f>
        <v>46.095238095238095</v>
      </c>
      <c r="C17" s="1411">
        <f t="shared" ref="C17:C24" si="1">MIN(N17,D17,F17,H17,J17,L17,P17,R17,T17,V17)</f>
        <v>37.15</v>
      </c>
      <c r="D17" s="1412">
        <v>43</v>
      </c>
      <c r="E17" s="1413">
        <f t="shared" ref="E17:E24" si="2">D17/$B17</f>
        <v>0.93285123966942152</v>
      </c>
      <c r="F17" s="1412">
        <v>43.64</v>
      </c>
      <c r="G17" s="1413">
        <f t="shared" ref="G17:G24" si="3">F17/$B17</f>
        <v>0.94673553719008263</v>
      </c>
      <c r="H17" s="1412">
        <v>44.04</v>
      </c>
      <c r="I17" s="1413">
        <f t="shared" ref="I17:I24" si="4">H17/$B17</f>
        <v>0.95541322314049582</v>
      </c>
      <c r="J17" s="1412">
        <v>41.08</v>
      </c>
      <c r="K17" s="1413">
        <f t="shared" ref="K17:K24" si="5">J17/$B17</f>
        <v>0.89119834710743795</v>
      </c>
      <c r="L17" s="1414">
        <v>46.095238095238095</v>
      </c>
      <c r="M17" s="1413">
        <f t="shared" ref="M17:M24" si="6">L17/$B17</f>
        <v>1</v>
      </c>
      <c r="N17" s="1415">
        <v>42</v>
      </c>
      <c r="O17" s="1413">
        <f t="shared" ref="O17:O24" si="7">N17/$B17</f>
        <v>0.91115702479338845</v>
      </c>
      <c r="P17" s="1412">
        <v>41.61904761904762</v>
      </c>
      <c r="Q17" s="1413">
        <f t="shared" ref="Q17:Q24" si="8">P17/$B17</f>
        <v>0.90289256198347112</v>
      </c>
      <c r="R17" s="1412">
        <v>38.450000000000003</v>
      </c>
      <c r="S17" s="1413">
        <f t="shared" ref="S17:S24" si="9">R17/$B17</f>
        <v>0.83414256198347114</v>
      </c>
      <c r="T17" s="1412">
        <v>37.15</v>
      </c>
      <c r="U17" s="1413">
        <f t="shared" ref="U17:U24" si="10">T17/$B17</f>
        <v>0.80594008264462802</v>
      </c>
      <c r="V17" s="1412">
        <v>42.2</v>
      </c>
      <c r="W17" s="1413">
        <f t="shared" ref="W17:W24" si="11">V17/$B17</f>
        <v>0.91549586776859515</v>
      </c>
    </row>
    <row r="18" spans="1:23" ht="15.75">
      <c r="A18" s="1404" t="s">
        <v>40</v>
      </c>
      <c r="B18" s="1410">
        <f t="shared" si="0"/>
        <v>5.4382022471910112</v>
      </c>
      <c r="C18" s="1411">
        <f t="shared" si="1"/>
        <v>4.0776699029126213</v>
      </c>
      <c r="D18" s="1412">
        <v>4.867924528301887</v>
      </c>
      <c r="E18" s="1413">
        <f t="shared" si="2"/>
        <v>0.89513488227038829</v>
      </c>
      <c r="F18" s="1412">
        <v>5.3480392156862742</v>
      </c>
      <c r="G18" s="1413">
        <f t="shared" si="3"/>
        <v>0.98342043428941817</v>
      </c>
      <c r="H18" s="1412">
        <v>4.8289473684210522</v>
      </c>
      <c r="I18" s="1413">
        <f t="shared" si="4"/>
        <v>0.88796759460635055</v>
      </c>
      <c r="J18" s="1412">
        <v>4.7767441860465114</v>
      </c>
      <c r="K18" s="1413">
        <f t="shared" si="5"/>
        <v>0.87836824908706512</v>
      </c>
      <c r="L18" s="1414">
        <v>5.4382022471910112</v>
      </c>
      <c r="M18" s="1413">
        <f t="shared" si="6"/>
        <v>1</v>
      </c>
      <c r="N18" s="1412">
        <v>4.0776699029126213</v>
      </c>
      <c r="O18" s="1413">
        <f t="shared" si="7"/>
        <v>0.74981946561822999</v>
      </c>
      <c r="P18" s="1412">
        <v>5.0520231213872835</v>
      </c>
      <c r="Q18" s="1413">
        <f t="shared" si="8"/>
        <v>0.92898772273443853</v>
      </c>
      <c r="R18" s="1412">
        <v>4.2252747252747254</v>
      </c>
      <c r="S18" s="1413">
        <f t="shared" si="9"/>
        <v>0.77696167468894739</v>
      </c>
      <c r="T18" s="1412">
        <v>4.3705882352941172</v>
      </c>
      <c r="U18" s="1413">
        <f t="shared" si="10"/>
        <v>0.80368254739912481</v>
      </c>
      <c r="V18" s="1412">
        <v>5.0238095238095237</v>
      </c>
      <c r="W18" s="1413">
        <f t="shared" si="11"/>
        <v>0.92379968516332156</v>
      </c>
    </row>
    <row r="19" spans="1:23" ht="15.75">
      <c r="A19" s="1404" t="s">
        <v>34</v>
      </c>
      <c r="B19" s="1405">
        <f t="shared" si="0"/>
        <v>0.4358974358974359</v>
      </c>
      <c r="C19" s="1406">
        <f t="shared" si="1"/>
        <v>0.19047619047619047</v>
      </c>
      <c r="D19" s="1416">
        <v>0.26229508196721313</v>
      </c>
      <c r="E19" s="1413">
        <f t="shared" si="2"/>
        <v>0.60173577627772423</v>
      </c>
      <c r="F19" s="1417">
        <v>0.4358974358974359</v>
      </c>
      <c r="G19" s="1413">
        <f t="shared" si="3"/>
        <v>1</v>
      </c>
      <c r="H19" s="1416">
        <v>0.375</v>
      </c>
      <c r="I19" s="1413">
        <f t="shared" si="4"/>
        <v>0.86029411764705876</v>
      </c>
      <c r="J19" s="1416">
        <v>0.38461538461538464</v>
      </c>
      <c r="K19" s="1413">
        <f t="shared" si="5"/>
        <v>0.88235294117647067</v>
      </c>
      <c r="L19" s="1416">
        <v>0.35483870967741937</v>
      </c>
      <c r="M19" s="1413">
        <f t="shared" si="6"/>
        <v>0.81404174573055033</v>
      </c>
      <c r="N19" s="1416">
        <v>0.29729729729729731</v>
      </c>
      <c r="O19" s="1413">
        <f t="shared" si="7"/>
        <v>0.68203497615262321</v>
      </c>
      <c r="P19" s="1416">
        <v>0.375</v>
      </c>
      <c r="Q19" s="1413">
        <f t="shared" si="8"/>
        <v>0.86029411764705876</v>
      </c>
      <c r="R19" s="1416">
        <v>0.28000000000000003</v>
      </c>
      <c r="S19" s="1413">
        <f t="shared" si="9"/>
        <v>0.64235294117647068</v>
      </c>
      <c r="T19" s="1416">
        <v>0.20588235294117646</v>
      </c>
      <c r="U19" s="1413">
        <f t="shared" si="10"/>
        <v>0.47231833910034599</v>
      </c>
      <c r="V19" s="1416">
        <v>0.19047619047619047</v>
      </c>
      <c r="W19" s="1413">
        <f t="shared" si="11"/>
        <v>0.43697478991596633</v>
      </c>
    </row>
    <row r="20" spans="1:23" ht="15.75" hidden="1">
      <c r="A20" s="1404" t="s">
        <v>22</v>
      </c>
      <c r="B20" s="1405">
        <f t="shared" si="0"/>
        <v>8.8372093023255813E-2</v>
      </c>
      <c r="C20" s="1406">
        <f t="shared" si="1"/>
        <v>2.9411764705882353E-2</v>
      </c>
      <c r="D20" s="1416">
        <v>5.6603773584905662E-2</v>
      </c>
      <c r="E20" s="1413">
        <f t="shared" si="2"/>
        <v>0.64051638530287991</v>
      </c>
      <c r="F20" s="1416">
        <v>4.9019607843137254E-2</v>
      </c>
      <c r="G20" s="1413">
        <f t="shared" si="3"/>
        <v>0.55469556243550056</v>
      </c>
      <c r="H20" s="1416">
        <v>4.8245614035087717E-2</v>
      </c>
      <c r="I20" s="1413">
        <f t="shared" si="4"/>
        <v>0.54593721144967677</v>
      </c>
      <c r="J20" s="1417">
        <v>8.8372093023255813E-2</v>
      </c>
      <c r="K20" s="1413">
        <f t="shared" si="5"/>
        <v>1</v>
      </c>
      <c r="L20" s="1416">
        <v>7.3033707865168537E-2</v>
      </c>
      <c r="M20" s="1413">
        <f t="shared" si="6"/>
        <v>0.82643406268480191</v>
      </c>
      <c r="N20" s="1416">
        <v>6.7961165048543687E-2</v>
      </c>
      <c r="O20" s="1413">
        <f t="shared" si="7"/>
        <v>0.76903423607562593</v>
      </c>
      <c r="P20" s="1416">
        <v>5.2023121387283239E-2</v>
      </c>
      <c r="Q20" s="1413">
        <f t="shared" si="8"/>
        <v>0.58868268938241564</v>
      </c>
      <c r="R20" s="1416">
        <v>6.043956043956044E-2</v>
      </c>
      <c r="S20" s="1413">
        <f t="shared" si="9"/>
        <v>0.68392134181607867</v>
      </c>
      <c r="T20" s="1416">
        <v>2.9411764705882353E-2</v>
      </c>
      <c r="U20" s="1413">
        <f t="shared" si="10"/>
        <v>0.33281733746130032</v>
      </c>
      <c r="V20" s="1416">
        <v>2.976190476190476E-2</v>
      </c>
      <c r="W20" s="1413">
        <f t="shared" si="11"/>
        <v>0.33677944862155385</v>
      </c>
    </row>
    <row r="21" spans="1:23" ht="15.75" hidden="1">
      <c r="A21" s="1404" t="s">
        <v>20</v>
      </c>
      <c r="B21" s="1405">
        <f t="shared" si="0"/>
        <v>0.10119047619047619</v>
      </c>
      <c r="C21" s="1406">
        <f t="shared" si="1"/>
        <v>2.9126213592233011E-2</v>
      </c>
      <c r="D21" s="1416">
        <v>6.1320754716981132E-2</v>
      </c>
      <c r="E21" s="1413">
        <f t="shared" si="2"/>
        <v>0.60599334073251943</v>
      </c>
      <c r="F21" s="1416">
        <v>8.3333333333333329E-2</v>
      </c>
      <c r="G21" s="1413">
        <f t="shared" si="3"/>
        <v>0.82352941176470584</v>
      </c>
      <c r="H21" s="1416">
        <v>4.8245614035087717E-2</v>
      </c>
      <c r="I21" s="1413">
        <f t="shared" si="4"/>
        <v>0.47678018575851389</v>
      </c>
      <c r="J21" s="1416">
        <v>4.6511627906976744E-2</v>
      </c>
      <c r="K21" s="1413">
        <f t="shared" si="5"/>
        <v>0.45964432284541723</v>
      </c>
      <c r="L21" s="1416">
        <v>6.741573033707865E-2</v>
      </c>
      <c r="M21" s="1413">
        <f t="shared" si="6"/>
        <v>0.66622604097818905</v>
      </c>
      <c r="N21" s="1416">
        <v>2.9126213592233011E-2</v>
      </c>
      <c r="O21" s="1413">
        <f t="shared" si="7"/>
        <v>0.287835522558538</v>
      </c>
      <c r="P21" s="1416">
        <v>7.5144508670520235E-2</v>
      </c>
      <c r="Q21" s="1413">
        <f t="shared" si="8"/>
        <v>0.7426045562733764</v>
      </c>
      <c r="R21" s="1416">
        <v>7.1428571428571425E-2</v>
      </c>
      <c r="S21" s="1413">
        <f t="shared" si="9"/>
        <v>0.70588235294117641</v>
      </c>
      <c r="T21" s="1416">
        <v>4.1176470588235294E-2</v>
      </c>
      <c r="U21" s="1413">
        <f t="shared" si="10"/>
        <v>0.40692041522491346</v>
      </c>
      <c r="V21" s="1417">
        <v>0.10119047619047619</v>
      </c>
      <c r="W21" s="1413">
        <f t="shared" si="11"/>
        <v>1</v>
      </c>
    </row>
    <row r="22" spans="1:23" ht="15.75" hidden="1">
      <c r="A22" s="1404" t="s">
        <v>18</v>
      </c>
      <c r="B22" s="1405">
        <f t="shared" si="0"/>
        <v>8.8235294117647065E-2</v>
      </c>
      <c r="C22" s="1406">
        <f t="shared" si="1"/>
        <v>3.2967032967032968E-2</v>
      </c>
      <c r="D22" s="1416">
        <v>6.6037735849056603E-2</v>
      </c>
      <c r="E22" s="1413">
        <f t="shared" si="2"/>
        <v>0.74842767295597479</v>
      </c>
      <c r="F22" s="1416">
        <v>4.4117647058823532E-2</v>
      </c>
      <c r="G22" s="1413">
        <f t="shared" si="3"/>
        <v>0.5</v>
      </c>
      <c r="H22" s="1416">
        <v>4.8245614035087717E-2</v>
      </c>
      <c r="I22" s="1413">
        <f t="shared" si="4"/>
        <v>0.54678362573099404</v>
      </c>
      <c r="J22" s="1416">
        <v>6.0465116279069767E-2</v>
      </c>
      <c r="K22" s="1413">
        <f t="shared" si="5"/>
        <v>0.68527131782945727</v>
      </c>
      <c r="L22" s="1416">
        <v>6.741573033707865E-2</v>
      </c>
      <c r="M22" s="1413">
        <f t="shared" si="6"/>
        <v>0.7640449438202247</v>
      </c>
      <c r="N22" s="1416">
        <v>4.3689320388349516E-2</v>
      </c>
      <c r="O22" s="1413">
        <f t="shared" si="7"/>
        <v>0.49514563106796117</v>
      </c>
      <c r="P22" s="1416">
        <v>5.2023121387283239E-2</v>
      </c>
      <c r="Q22" s="1413">
        <f t="shared" si="8"/>
        <v>0.58959537572254328</v>
      </c>
      <c r="R22" s="1416">
        <v>3.2967032967032968E-2</v>
      </c>
      <c r="S22" s="1413">
        <f t="shared" si="9"/>
        <v>0.37362637362637363</v>
      </c>
      <c r="T22" s="1417">
        <v>8.8235294117647065E-2</v>
      </c>
      <c r="U22" s="1413">
        <f t="shared" si="10"/>
        <v>1</v>
      </c>
      <c r="V22" s="1416">
        <v>8.3333333333333329E-2</v>
      </c>
      <c r="W22" s="1413">
        <f t="shared" si="11"/>
        <v>0.94444444444444431</v>
      </c>
    </row>
    <row r="23" spans="1:23" ht="15.75">
      <c r="A23" s="1404" t="s">
        <v>213</v>
      </c>
      <c r="B23" s="1405">
        <f t="shared" si="0"/>
        <v>0.2142857142857143</v>
      </c>
      <c r="C23" s="1406">
        <f t="shared" si="1"/>
        <v>0.14077669902912621</v>
      </c>
      <c r="D23" s="1416">
        <f>SUM(D20:D22)</f>
        <v>0.18396226415094341</v>
      </c>
      <c r="E23" s="1413">
        <f t="shared" si="2"/>
        <v>0.85849056603773588</v>
      </c>
      <c r="F23" s="1416">
        <f>SUM(F20:F22)</f>
        <v>0.17647058823529413</v>
      </c>
      <c r="G23" s="1413">
        <f t="shared" si="3"/>
        <v>0.82352941176470584</v>
      </c>
      <c r="H23" s="1416">
        <f>SUM(H20:H22)</f>
        <v>0.14473684210526316</v>
      </c>
      <c r="I23" s="1413">
        <f t="shared" si="4"/>
        <v>0.67543859649122806</v>
      </c>
      <c r="J23" s="1416">
        <f>SUM(J20:J22)</f>
        <v>0.1953488372093023</v>
      </c>
      <c r="K23" s="1413">
        <f t="shared" si="5"/>
        <v>0.91162790697674401</v>
      </c>
      <c r="L23" s="1416">
        <f>SUM(L20:L22)</f>
        <v>0.20786516853932585</v>
      </c>
      <c r="M23" s="1413">
        <f t="shared" si="6"/>
        <v>0.97003745318352053</v>
      </c>
      <c r="N23" s="1416">
        <f>SUM(N20:N22)</f>
        <v>0.14077669902912621</v>
      </c>
      <c r="O23" s="1413">
        <f t="shared" si="7"/>
        <v>0.65695792880258896</v>
      </c>
      <c r="P23" s="1416">
        <f>SUM(P20:P22)</f>
        <v>0.1791907514450867</v>
      </c>
      <c r="Q23" s="1413">
        <f t="shared" si="8"/>
        <v>0.83622350674373791</v>
      </c>
      <c r="R23" s="1416">
        <f>SUM(R20:R22)</f>
        <v>0.16483516483516483</v>
      </c>
      <c r="S23" s="1413">
        <f t="shared" si="9"/>
        <v>0.76923076923076916</v>
      </c>
      <c r="T23" s="1416">
        <f>SUM(T20:T22)</f>
        <v>0.1588235294117647</v>
      </c>
      <c r="U23" s="1413">
        <f t="shared" si="10"/>
        <v>0.74117647058823521</v>
      </c>
      <c r="V23" s="1417">
        <f>SUM(V20:V22)</f>
        <v>0.2142857142857143</v>
      </c>
      <c r="W23" s="1413">
        <f t="shared" si="11"/>
        <v>1</v>
      </c>
    </row>
    <row r="24" spans="1:23" ht="15.75" hidden="1">
      <c r="A24" s="1404" t="s">
        <v>212</v>
      </c>
      <c r="B24" s="1405">
        <f t="shared" si="0"/>
        <v>0.67105263157894723</v>
      </c>
      <c r="C24" s="1406">
        <f t="shared" si="1"/>
        <v>0.5488372093023256</v>
      </c>
      <c r="D24" s="1416">
        <f>1-D25-D20-D21-D22</f>
        <v>0.65566037735849059</v>
      </c>
      <c r="E24" s="1413">
        <f t="shared" si="2"/>
        <v>0.97706252312245678</v>
      </c>
      <c r="F24" s="1416">
        <f>1-F25-F20-F21-F22</f>
        <v>0.63235294117647056</v>
      </c>
      <c r="G24" s="1413">
        <f t="shared" si="3"/>
        <v>0.94232987312572103</v>
      </c>
      <c r="H24" s="1417">
        <f>1-H25-H20-H21-H22</f>
        <v>0.67105263157894723</v>
      </c>
      <c r="I24" s="1413">
        <f t="shared" si="4"/>
        <v>1</v>
      </c>
      <c r="J24" s="1416">
        <f>1-J25-J20-J21-J22</f>
        <v>0.5488372093023256</v>
      </c>
      <c r="K24" s="1413">
        <f t="shared" si="5"/>
        <v>0.81787505699954421</v>
      </c>
      <c r="L24" s="1416">
        <f>1-L25-L20-L21-L22</f>
        <v>0.62359550561797761</v>
      </c>
      <c r="M24" s="1413">
        <f t="shared" si="6"/>
        <v>0.92927957699933939</v>
      </c>
      <c r="N24" s="1416">
        <f>1-N25-N20-N21-N22</f>
        <v>0.6165048543689321</v>
      </c>
      <c r="O24" s="1413">
        <f t="shared" si="7"/>
        <v>0.91871311631448727</v>
      </c>
      <c r="P24" s="1416">
        <f>1-P25-P20-P21-P22</f>
        <v>0.65317919075144504</v>
      </c>
      <c r="Q24" s="1413">
        <f t="shared" si="8"/>
        <v>0.97336506857078109</v>
      </c>
      <c r="R24" s="1416">
        <f>1-R25-R20-R21-R22</f>
        <v>0.5494505494505495</v>
      </c>
      <c r="S24" s="1413">
        <f t="shared" si="9"/>
        <v>0.81878905408317193</v>
      </c>
      <c r="T24" s="1416">
        <f>1-T25-T20-T21-T22</f>
        <v>0.65294117647058825</v>
      </c>
      <c r="U24" s="1413">
        <f t="shared" si="10"/>
        <v>0.97301038062283762</v>
      </c>
      <c r="V24" s="1416">
        <f>1-V25-V20-V21-V22</f>
        <v>0.5714285714285714</v>
      </c>
      <c r="W24" s="1413">
        <f t="shared" si="11"/>
        <v>0.85154061624649868</v>
      </c>
    </row>
    <row r="25" spans="1:23" ht="15.75">
      <c r="A25" s="1404" t="s">
        <v>29</v>
      </c>
      <c r="B25" s="1405">
        <f>MIN(N25,D25,F25,H25,J25,L25,P25,R25,T25,V25)</f>
        <v>0.16037735849056603</v>
      </c>
      <c r="C25" s="1406">
        <f>MAX(N25,D25,F25,H25,J25,L25,P25,R25,T25,V25)</f>
        <v>0.2857142857142857</v>
      </c>
      <c r="D25" s="1417">
        <v>0.16037735849056603</v>
      </c>
      <c r="E25" s="1413">
        <f>$B25/D25</f>
        <v>1</v>
      </c>
      <c r="F25" s="1416">
        <v>0.19117647058823528</v>
      </c>
      <c r="G25" s="1413">
        <f>$B25/F25</f>
        <v>0.83889695210449933</v>
      </c>
      <c r="H25" s="1416">
        <v>0.18421052631578946</v>
      </c>
      <c r="I25" s="1413">
        <f>$B25/H25</f>
        <v>0.87061994609164417</v>
      </c>
      <c r="J25" s="1416">
        <v>0.2558139534883721</v>
      </c>
      <c r="K25" s="1413">
        <f>$B25/J25</f>
        <v>0.62692967409948541</v>
      </c>
      <c r="L25" s="1416">
        <v>0.16853932584269662</v>
      </c>
      <c r="M25" s="1413">
        <f>$B25/L25</f>
        <v>0.95157232704402517</v>
      </c>
      <c r="N25" s="1416">
        <v>0.24271844660194175</v>
      </c>
      <c r="O25" s="1413">
        <f>$B25/N25</f>
        <v>0.66075471698113208</v>
      </c>
      <c r="P25" s="1416">
        <v>0.16763005780346821</v>
      </c>
      <c r="Q25" s="1413">
        <f>$B25/P25</f>
        <v>0.95673389720234214</v>
      </c>
      <c r="R25" s="1416">
        <v>0.2857142857142857</v>
      </c>
      <c r="S25" s="1413">
        <f>$B25/R25</f>
        <v>0.56132075471698117</v>
      </c>
      <c r="T25" s="1416">
        <v>0.18823529411764706</v>
      </c>
      <c r="U25" s="1413">
        <f>$B25/T25</f>
        <v>0.852004716981132</v>
      </c>
      <c r="V25" s="1416">
        <v>0.21428571428571427</v>
      </c>
      <c r="W25" s="1413">
        <f>$B25/V25</f>
        <v>0.7484276729559749</v>
      </c>
    </row>
    <row r="26" spans="1:23" ht="15.75">
      <c r="A26" s="1418" t="s">
        <v>15</v>
      </c>
      <c r="B26" s="1419">
        <f>MAX(N26,D26,F26,H26,J26,L26,P26,R26,T26,V26)</f>
        <v>11.153846153846153</v>
      </c>
      <c r="C26" s="1420">
        <f>MIN(N26,D26,F26,H26,J26,L26,P26,R26,T26,V26)</f>
        <v>6.9</v>
      </c>
      <c r="D26" s="1421">
        <v>11.153846153846153</v>
      </c>
      <c r="E26" s="1422">
        <f>D26/$B26</f>
        <v>1</v>
      </c>
      <c r="F26" s="1423">
        <v>9.4285714285714288</v>
      </c>
      <c r="G26" s="1422">
        <f>F26/$B26</f>
        <v>0.84532019704433503</v>
      </c>
      <c r="H26" s="1423">
        <v>9.6666666666666661</v>
      </c>
      <c r="I26" s="1422">
        <f>H26/$B26</f>
        <v>0.8666666666666667</v>
      </c>
      <c r="J26" s="1423">
        <v>9</v>
      </c>
      <c r="K26" s="1422">
        <f>J26/$B26</f>
        <v>0.80689655172413799</v>
      </c>
      <c r="L26" s="1423">
        <v>10</v>
      </c>
      <c r="M26" s="1422">
        <f>L26/$B26</f>
        <v>0.89655172413793105</v>
      </c>
      <c r="N26" s="1423">
        <v>7.9090909090909092</v>
      </c>
      <c r="O26" s="1422">
        <f>N26/$B26</f>
        <v>0.70909090909090911</v>
      </c>
      <c r="P26" s="1423">
        <v>6.9</v>
      </c>
      <c r="Q26" s="1422">
        <f>P26/$B26</f>
        <v>0.61862068965517247</v>
      </c>
      <c r="R26" s="1423">
        <v>8.4</v>
      </c>
      <c r="S26" s="1422">
        <f>R26/$B26</f>
        <v>0.75310344827586218</v>
      </c>
      <c r="T26" s="1423">
        <v>7.7</v>
      </c>
      <c r="U26" s="1422">
        <f>T26/$B26</f>
        <v>0.69034482758620697</v>
      </c>
      <c r="V26" s="1423">
        <v>7.6</v>
      </c>
      <c r="W26" s="1422">
        <f>V26/$B26</f>
        <v>0.68137931034482757</v>
      </c>
    </row>
    <row r="27" spans="1:23" s="1398" customFormat="1" ht="19.5" thickBot="1">
      <c r="A27" s="1424" t="s">
        <v>14</v>
      </c>
      <c r="B27" s="1425"/>
      <c r="C27" s="1426"/>
      <c r="D27" s="1603">
        <f>SUM(E15+E16+E17+E18+E19+E23+E25+E26)/8</f>
        <v>0.89016855039932541</v>
      </c>
      <c r="E27" s="1603"/>
      <c r="F27" s="1603">
        <f>SUM(G15+G16+G17+G18+G19+G23+G25+G26)/8</f>
        <v>0.92973781654913001</v>
      </c>
      <c r="G27" s="1603"/>
      <c r="H27" s="1603">
        <f>SUM(I15+I16+I17+I18+I19+I23+I25+I26)/8</f>
        <v>0.84910884160984224</v>
      </c>
      <c r="I27" s="1603"/>
      <c r="J27" s="1603">
        <f>SUM(K15+K16+K17+K18+K19+K23+K25+K26)/8</f>
        <v>0.82228200288906472</v>
      </c>
      <c r="K27" s="1603"/>
      <c r="L27" s="1603">
        <f>SUM(M15+M16+M17+M18+M19+M23+M25+M26)/8</f>
        <v>0.91899998304924013</v>
      </c>
      <c r="M27" s="1603"/>
      <c r="N27" s="1603">
        <f>SUM(O15+O16+O17+O18+O19+O23+O25+O26)/8</f>
        <v>0.75874938668346037</v>
      </c>
      <c r="O27" s="1603"/>
      <c r="P27" s="1603">
        <f>SUM(Q15+Q16+Q17+Q18+Q19+Q23+Q25+Q26)/8</f>
        <v>0.82704469224787847</v>
      </c>
      <c r="Q27" s="1603"/>
      <c r="R27" s="1603">
        <f>SUM(S15+S16+S17+S18+S19+S23+S25+S26)/8</f>
        <v>0.70298460699435683</v>
      </c>
      <c r="S27" s="1603"/>
      <c r="T27" s="1603">
        <f>SUM(U15+U16+U17+U18+U19+U23+U25+U26)/8</f>
        <v>0.71859238039040041</v>
      </c>
      <c r="U27" s="1603"/>
      <c r="V27" s="1603">
        <f>SUM(W15+W16+W17+W18+W19+W23+W25+W26)/8</f>
        <v>0.7453452272659119</v>
      </c>
      <c r="W27" s="1603"/>
    </row>
    <row r="28" spans="1:23" ht="15.75" thickTop="1"/>
  </sheetData>
  <mergeCells count="69">
    <mergeCell ref="V13:W13"/>
    <mergeCell ref="V14:W14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P13:Q13"/>
    <mergeCell ref="P14:Q14"/>
    <mergeCell ref="R13:S13"/>
    <mergeCell ref="R14:S14"/>
    <mergeCell ref="T13:U13"/>
    <mergeCell ref="T14:U14"/>
    <mergeCell ref="D13:E13"/>
    <mergeCell ref="D14:E14"/>
    <mergeCell ref="F13:G13"/>
    <mergeCell ref="F14:G14"/>
    <mergeCell ref="H13:I13"/>
    <mergeCell ref="H14:I14"/>
    <mergeCell ref="J13:K13"/>
    <mergeCell ref="J14:K14"/>
    <mergeCell ref="L13:M13"/>
    <mergeCell ref="L14:M14"/>
    <mergeCell ref="N13:O13"/>
    <mergeCell ref="N14:O14"/>
    <mergeCell ref="D1:E1"/>
    <mergeCell ref="N11:O11"/>
    <mergeCell ref="P11:Q11"/>
    <mergeCell ref="R11:S11"/>
    <mergeCell ref="N1:O1"/>
    <mergeCell ref="P1:Q1"/>
    <mergeCell ref="R1:S1"/>
    <mergeCell ref="F1:G1"/>
    <mergeCell ref="N2:O2"/>
    <mergeCell ref="P2:Q2"/>
    <mergeCell ref="R2:S2"/>
    <mergeCell ref="J1:K1"/>
    <mergeCell ref="H1:I1"/>
    <mergeCell ref="V11:W11"/>
    <mergeCell ref="X11:Y11"/>
    <mergeCell ref="Z11:AA11"/>
    <mergeCell ref="AB11:AC11"/>
    <mergeCell ref="D2:E2"/>
    <mergeCell ref="F2:G2"/>
    <mergeCell ref="H2:I2"/>
    <mergeCell ref="J2:K2"/>
    <mergeCell ref="T2:U2"/>
    <mergeCell ref="L2:M2"/>
    <mergeCell ref="D11:E11"/>
    <mergeCell ref="J11:K11"/>
    <mergeCell ref="F11:G11"/>
    <mergeCell ref="H11:I11"/>
    <mergeCell ref="T11:U11"/>
    <mergeCell ref="L11:M11"/>
    <mergeCell ref="V2:W2"/>
    <mergeCell ref="V1:W1"/>
    <mergeCell ref="AB2:AC2"/>
    <mergeCell ref="L1:M1"/>
    <mergeCell ref="T1:U1"/>
    <mergeCell ref="X2:Y2"/>
    <mergeCell ref="Z2:AA2"/>
    <mergeCell ref="AB1:AC1"/>
    <mergeCell ref="X1:Y1"/>
    <mergeCell ref="Z1:AA1"/>
  </mergeCells>
  <conditionalFormatting sqref="E3 G3 I3 K3 M3 O3 Q3 S3 U3 W3 Y3 AA3 AC3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 G4 I4 K4 M4 O4 Q4 S4 U4 W4 Y4 AA4 AC4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 G5 I5 K5 M5 O5 Q5 S5 U5 W5 Y5 AA5 AC5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 G6 I6 K6 M6 O6 Q6 S6 U6 W6 Y6 AA6 AC6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 G7 I7 K7 M7 O7 Q7 S7 U7 W7 Y7 AA7 AC7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8 E8 I8 K8 M8 O8 Q8 S8 U8 W8 Y8 AA8 AC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 G9 I9 K9 M9 O9 Q9 S9 U9 W9 Y9 AA9 AC9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 G10 I10 K10 M10 O10 Q10 S10 U10 W10 Y10 AA10 AC10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5:O26">
    <cfRule type="colorScale" priority="2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5:E26">
    <cfRule type="colorScale" priority="2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5:G26">
    <cfRule type="colorScale" priority="2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5:I26">
    <cfRule type="colorScale" priority="2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:K26">
    <cfRule type="colorScale" priority="2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5:M26">
    <cfRule type="colorScale" priority="2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5:Q26">
    <cfRule type="colorScale" priority="2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5:S26">
    <cfRule type="colorScale" priority="2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5:U26">
    <cfRule type="colorScale" priority="2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5:W26">
    <cfRule type="colorScale" priority="2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horizontalDpi="4294967293" verticalDpi="0" r:id="rId1"/>
  <ignoredErrors>
    <ignoredError sqref="B4:C8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6"/>
  <sheetViews>
    <sheetView zoomScale="90" zoomScaleNormal="90" workbookViewId="0"/>
  </sheetViews>
  <sheetFormatPr baseColWidth="10" defaultRowHeight="15"/>
  <cols>
    <col min="1" max="1" width="33.42578125" style="1482" bestFit="1" customWidth="1"/>
    <col min="2" max="2" width="5.85546875" style="1483" bestFit="1" customWidth="1"/>
    <col min="3" max="3" width="5.42578125" style="1484" bestFit="1" customWidth="1"/>
    <col min="4" max="4" width="6.28515625" style="1481" bestFit="1" customWidth="1"/>
    <col min="5" max="5" width="5.140625" style="1482" bestFit="1" customWidth="1"/>
    <col min="6" max="6" width="5.140625" style="1481" bestFit="1" customWidth="1"/>
    <col min="7" max="7" width="5.85546875" style="1482" bestFit="1" customWidth="1"/>
    <col min="8" max="8" width="5.140625" style="1481" bestFit="1" customWidth="1"/>
    <col min="9" max="9" width="5.85546875" style="1482" bestFit="1" customWidth="1"/>
    <col min="10" max="10" width="5.140625" style="1481" bestFit="1" customWidth="1"/>
    <col min="11" max="11" width="5.140625" style="1482" bestFit="1" customWidth="1"/>
    <col min="12" max="12" width="5.140625" style="1481" bestFit="1" customWidth="1"/>
    <col min="13" max="13" width="5.140625" style="1482" bestFit="1" customWidth="1"/>
    <col min="14" max="14" width="5.140625" style="1481" bestFit="1" customWidth="1"/>
    <col min="15" max="15" width="5.140625" style="1482" bestFit="1" customWidth="1"/>
    <col min="16" max="16" width="5.140625" style="1481" bestFit="1" customWidth="1"/>
    <col min="17" max="17" width="5.140625" style="1482" bestFit="1" customWidth="1"/>
    <col min="18" max="18" width="5.140625" style="1481" bestFit="1" customWidth="1"/>
    <col min="19" max="19" width="5.140625" style="1482" bestFit="1" customWidth="1"/>
    <col min="20" max="20" width="5.140625" style="1481" bestFit="1" customWidth="1"/>
    <col min="21" max="21" width="5.140625" style="1482" bestFit="1" customWidth="1"/>
    <col min="22" max="22" width="5.140625" style="1481" bestFit="1" customWidth="1"/>
    <col min="23" max="23" width="5.140625" style="1482" bestFit="1" customWidth="1"/>
    <col min="24" max="24" width="5.140625" style="1481" bestFit="1" customWidth="1"/>
    <col min="25" max="25" width="5.140625" style="1482" bestFit="1" customWidth="1"/>
    <col min="26" max="26" width="5.140625" style="1481" bestFit="1" customWidth="1"/>
    <col min="27" max="27" width="5.140625" style="1482" bestFit="1" customWidth="1"/>
    <col min="28" max="28" width="5.140625" style="1481" bestFit="1" customWidth="1"/>
    <col min="29" max="29" width="5.140625" style="1482" bestFit="1" customWidth="1"/>
    <col min="30" max="30" width="5.140625" style="1481" bestFit="1" customWidth="1"/>
    <col min="31" max="31" width="5.85546875" style="1482" bestFit="1" customWidth="1"/>
    <col min="32" max="32" width="5.140625" style="1481" bestFit="1" customWidth="1"/>
    <col min="33" max="33" width="5.85546875" style="1482" bestFit="1" customWidth="1"/>
    <col min="34" max="34" width="5.140625" style="1481" bestFit="1" customWidth="1"/>
    <col min="35" max="35" width="6.28515625" style="1482" bestFit="1" customWidth="1"/>
    <col min="36" max="36" width="5.140625" style="1481" bestFit="1" customWidth="1"/>
    <col min="37" max="37" width="5.140625" style="1482" bestFit="1" customWidth="1"/>
    <col min="38" max="38" width="5.28515625" style="1481" bestFit="1" customWidth="1"/>
    <col min="39" max="39" width="5.140625" style="1482" bestFit="1" customWidth="1"/>
    <col min="40" max="40" width="5.140625" style="1481" bestFit="1" customWidth="1"/>
    <col min="41" max="41" width="5.140625" style="1482" bestFit="1" customWidth="1"/>
    <col min="42" max="42" width="5.140625" style="1481" bestFit="1" customWidth="1"/>
    <col min="43" max="43" width="5.140625" style="1482" bestFit="1" customWidth="1"/>
    <col min="44" max="44" width="5.140625" style="1481" bestFit="1" customWidth="1"/>
    <col min="45" max="45" width="5.140625" style="1482" bestFit="1" customWidth="1"/>
    <col min="46" max="46" width="5.140625" style="1481" bestFit="1" customWidth="1"/>
    <col min="47" max="47" width="6.28515625" style="1482" bestFit="1" customWidth="1"/>
    <col min="48" max="71" width="11.5703125" style="1481" bestFit="1" customWidth="1"/>
    <col min="72" max="16384" width="11.42578125" style="1481"/>
  </cols>
  <sheetData>
    <row r="1" spans="1:70" s="1438" customFormat="1" ht="99">
      <c r="A1" s="1480"/>
      <c r="B1" s="1307" t="s">
        <v>239</v>
      </c>
      <c r="C1" s="1306" t="s">
        <v>240</v>
      </c>
      <c r="D1" s="1608" t="s">
        <v>0</v>
      </c>
      <c r="E1" s="1609"/>
      <c r="F1" s="1612" t="s">
        <v>53</v>
      </c>
      <c r="G1" s="1612"/>
      <c r="H1" s="1614" t="s">
        <v>119</v>
      </c>
      <c r="I1" s="1614"/>
      <c r="J1" s="1617" t="s">
        <v>135</v>
      </c>
      <c r="K1" s="1617"/>
      <c r="L1" s="1623" t="s">
        <v>120</v>
      </c>
      <c r="M1" s="1623"/>
      <c r="N1" s="1623" t="s">
        <v>121</v>
      </c>
      <c r="O1" s="1624"/>
      <c r="P1" s="1634" t="s">
        <v>118</v>
      </c>
      <c r="Q1" s="1635"/>
      <c r="R1" s="1639" t="s">
        <v>101</v>
      </c>
      <c r="S1" s="1639"/>
      <c r="T1" s="1640" t="s">
        <v>102</v>
      </c>
      <c r="U1" s="1640"/>
      <c r="V1" s="1641" t="s">
        <v>100</v>
      </c>
      <c r="W1" s="1641"/>
      <c r="X1" s="1640" t="s">
        <v>147</v>
      </c>
      <c r="Y1" s="1640"/>
      <c r="Z1" s="1639" t="s">
        <v>113</v>
      </c>
      <c r="AA1" s="1639"/>
      <c r="AB1" s="1631" t="s">
        <v>140</v>
      </c>
      <c r="AC1" s="1631"/>
      <c r="AD1" s="1638" t="s">
        <v>164</v>
      </c>
      <c r="AE1" s="1638"/>
      <c r="AF1" s="1637" t="s">
        <v>54</v>
      </c>
      <c r="AG1" s="1637"/>
      <c r="AH1" s="1637" t="s">
        <v>57</v>
      </c>
      <c r="AI1" s="1637"/>
      <c r="AJ1" s="1637" t="s">
        <v>115</v>
      </c>
      <c r="AK1" s="1637"/>
      <c r="AL1" s="1636" t="s">
        <v>53</v>
      </c>
      <c r="AM1" s="1636"/>
      <c r="AN1" s="1626" t="s">
        <v>104</v>
      </c>
      <c r="AO1" s="1626"/>
      <c r="AP1" s="1632" t="s">
        <v>9</v>
      </c>
      <c r="AQ1" s="1632"/>
      <c r="AR1" s="1631" t="s">
        <v>139</v>
      </c>
      <c r="AS1" s="1631"/>
      <c r="AT1" s="1631" t="s">
        <v>141</v>
      </c>
      <c r="AU1" s="1631"/>
    </row>
    <row r="2" spans="1:70" s="1454" customFormat="1">
      <c r="A2" s="1299" t="s">
        <v>40</v>
      </c>
      <c r="B2" s="1305">
        <v>7.9565217391304346</v>
      </c>
      <c r="C2" s="1304">
        <v>1.8723404255319149</v>
      </c>
      <c r="D2" s="1440">
        <v>5.931034482758621</v>
      </c>
      <c r="E2" s="1441">
        <v>0.74543056340682123</v>
      </c>
      <c r="F2" s="1440">
        <v>6.28</v>
      </c>
      <c r="G2" s="1441">
        <v>0.78928961748633886</v>
      </c>
      <c r="H2" s="1440">
        <v>5.9361702127659575</v>
      </c>
      <c r="I2" s="1441">
        <v>0.74607603767003838</v>
      </c>
      <c r="J2" s="1440">
        <v>5.6829268292682924</v>
      </c>
      <c r="K2" s="1441">
        <v>0.71424763427962146</v>
      </c>
      <c r="L2" s="1440">
        <v>6.645833333333333</v>
      </c>
      <c r="M2" s="1441">
        <v>0.8352686703096539</v>
      </c>
      <c r="N2" s="1440">
        <v>6.416666666666667</v>
      </c>
      <c r="O2" s="1441">
        <v>0.80646630236794181</v>
      </c>
      <c r="P2" s="1440">
        <v>6.2553191489361701</v>
      </c>
      <c r="Q2" s="1441">
        <v>0.78618765259853507</v>
      </c>
      <c r="R2" s="1444">
        <v>4.5999999999999996</v>
      </c>
      <c r="S2" s="1443">
        <v>0.57814207650273219</v>
      </c>
      <c r="T2" s="1444">
        <v>5.6060606060606064</v>
      </c>
      <c r="U2" s="1443">
        <v>0.70458685212783578</v>
      </c>
      <c r="V2" s="1444">
        <v>4.6585365853658534</v>
      </c>
      <c r="W2" s="1443">
        <v>0.58549913367986139</v>
      </c>
      <c r="X2" s="1444">
        <v>5</v>
      </c>
      <c r="Y2" s="1443">
        <v>0.62841530054644812</v>
      </c>
      <c r="Z2" s="1444">
        <v>4.6538461538461542</v>
      </c>
      <c r="AA2" s="1443">
        <v>0.58490962589323248</v>
      </c>
      <c r="AB2" s="1450">
        <v>3.3414634146341462</v>
      </c>
      <c r="AC2" s="1451">
        <v>0.41996534719445555</v>
      </c>
      <c r="AD2" s="1452">
        <v>3.9473684210526314</v>
      </c>
      <c r="AE2" s="1510">
        <v>0.49611734253666956</v>
      </c>
      <c r="AF2" s="1447">
        <v>6.6444444444444448</v>
      </c>
      <c r="AG2" s="1512">
        <v>0.83509411050394666</v>
      </c>
      <c r="AH2" s="1447">
        <v>7.9565217391304346</v>
      </c>
      <c r="AI2" s="1513">
        <v>1</v>
      </c>
      <c r="AJ2" s="1447">
        <v>3.7333333333333334</v>
      </c>
      <c r="AK2" s="1448">
        <v>0.46921675774134791</v>
      </c>
      <c r="AL2" s="1514">
        <v>5.0677966101694913</v>
      </c>
      <c r="AM2" s="1515">
        <v>0.63693618597758639</v>
      </c>
      <c r="AN2" s="1445">
        <v>5.6491228070175437</v>
      </c>
      <c r="AO2" s="1446">
        <v>0.70999904131914482</v>
      </c>
      <c r="AP2" s="1449">
        <v>4.7021276595744679</v>
      </c>
      <c r="AQ2" s="1522">
        <v>0.59097779327985112</v>
      </c>
      <c r="AR2" s="1450">
        <v>6.1111111111111107</v>
      </c>
      <c r="AS2" s="1508">
        <v>0.76806314511232543</v>
      </c>
      <c r="AT2" s="1450">
        <v>4.5999999999999996</v>
      </c>
      <c r="AU2" s="1509">
        <v>0.57814207650273219</v>
      </c>
    </row>
    <row r="3" spans="1:70" s="1454" customFormat="1">
      <c r="A3" s="1299" t="s">
        <v>34</v>
      </c>
      <c r="B3" s="1303">
        <v>1</v>
      </c>
      <c r="C3" s="1302">
        <v>0</v>
      </c>
      <c r="D3" s="1456">
        <v>0.25</v>
      </c>
      <c r="E3" s="1441">
        <v>0.25</v>
      </c>
      <c r="F3" s="1456">
        <v>0.42857142857142855</v>
      </c>
      <c r="G3" s="1441">
        <v>0.42857142857142855</v>
      </c>
      <c r="H3" s="1456">
        <v>0.5</v>
      </c>
      <c r="I3" s="1441">
        <v>0.5</v>
      </c>
      <c r="J3" s="1456">
        <v>0.42857142857142855</v>
      </c>
      <c r="K3" s="1441">
        <v>0.42857142857142855</v>
      </c>
      <c r="L3" s="1456">
        <v>0.33333333333333331</v>
      </c>
      <c r="M3" s="1441">
        <v>0.33333333333333331</v>
      </c>
      <c r="N3" s="1456">
        <v>0.6</v>
      </c>
      <c r="O3" s="1441">
        <v>0.6</v>
      </c>
      <c r="P3" s="1456">
        <v>0.42857142857142855</v>
      </c>
      <c r="Q3" s="1441">
        <v>0.42857142857142855</v>
      </c>
      <c r="R3" s="1458">
        <v>0.55555555555555558</v>
      </c>
      <c r="S3" s="1443">
        <v>0.55555555555555558</v>
      </c>
      <c r="T3" s="1458">
        <v>0.375</v>
      </c>
      <c r="U3" s="1443">
        <v>0.375</v>
      </c>
      <c r="V3" s="1458">
        <v>0</v>
      </c>
      <c r="W3" s="1443">
        <v>0</v>
      </c>
      <c r="X3" s="1458">
        <v>0</v>
      </c>
      <c r="Y3" s="1443">
        <v>0</v>
      </c>
      <c r="Z3" s="1458">
        <v>0.4</v>
      </c>
      <c r="AA3" s="1443">
        <v>0.4</v>
      </c>
      <c r="AB3" s="1463">
        <v>0.3</v>
      </c>
      <c r="AC3" s="1508">
        <v>0.3</v>
      </c>
      <c r="AD3" s="1464">
        <v>0.33333333333333331</v>
      </c>
      <c r="AE3" s="1511">
        <v>0.33333333333333331</v>
      </c>
      <c r="AF3" s="1461">
        <v>0.5714285714285714</v>
      </c>
      <c r="AG3" s="1512">
        <v>0.5714285714285714</v>
      </c>
      <c r="AH3" s="1461">
        <v>0.75</v>
      </c>
      <c r="AI3" s="1513">
        <v>0.75</v>
      </c>
      <c r="AJ3" s="1461">
        <v>0.16666666666666666</v>
      </c>
      <c r="AK3" s="1461">
        <v>0.16666666666666666</v>
      </c>
      <c r="AL3" s="1516">
        <v>0.55555555555555558</v>
      </c>
      <c r="AM3" s="1517">
        <v>0.55555555555555558</v>
      </c>
      <c r="AN3" s="1459">
        <v>0.26666666666666666</v>
      </c>
      <c r="AO3" s="1446">
        <v>0.26666666666666666</v>
      </c>
      <c r="AP3" s="1462">
        <v>0.14285714285714285</v>
      </c>
      <c r="AQ3" s="1462">
        <v>0.14285714285714285</v>
      </c>
      <c r="AR3" s="1463">
        <v>0.1111111111111111</v>
      </c>
      <c r="AS3" s="1451">
        <v>0.1111111111111111</v>
      </c>
      <c r="AT3" s="1463">
        <v>0.2857142857142857</v>
      </c>
      <c r="AU3" s="1509">
        <v>0.2857142857142857</v>
      </c>
    </row>
    <row r="4" spans="1:70" s="1454" customFormat="1">
      <c r="A4" s="1299" t="s">
        <v>29</v>
      </c>
      <c r="B4" s="1303">
        <v>2.8571428571428571E-2</v>
      </c>
      <c r="C4" s="1302">
        <v>0.48</v>
      </c>
      <c r="D4" s="1455">
        <v>0.1206896551724138</v>
      </c>
      <c r="E4" s="1441">
        <v>0.236734693877551</v>
      </c>
      <c r="F4" s="1455">
        <v>0.22</v>
      </c>
      <c r="G4" s="1441">
        <v>0.12987012987012986</v>
      </c>
      <c r="H4" s="1455">
        <v>0.1276595744680851</v>
      </c>
      <c r="I4" s="1441">
        <v>0.22380952380952382</v>
      </c>
      <c r="J4" s="1455">
        <v>7.3170731707317069E-2</v>
      </c>
      <c r="K4" s="1441">
        <v>0.39047619047619048</v>
      </c>
      <c r="L4" s="1455">
        <v>8.3333333333333329E-2</v>
      </c>
      <c r="M4" s="1441">
        <v>0.34285714285714286</v>
      </c>
      <c r="N4" s="1455">
        <v>0.10416666666666667</v>
      </c>
      <c r="O4" s="1441">
        <v>0.27428571428571424</v>
      </c>
      <c r="P4" s="1455">
        <v>0.14893617021276595</v>
      </c>
      <c r="Q4" s="1441">
        <v>0.19183673469387755</v>
      </c>
      <c r="R4" s="1457">
        <v>0.17142857142857143</v>
      </c>
      <c r="S4" s="1443">
        <v>0.16666666666666666</v>
      </c>
      <c r="T4" s="1457">
        <v>0.12121212121212122</v>
      </c>
      <c r="U4" s="1443">
        <v>0.23571428571428571</v>
      </c>
      <c r="V4" s="1457">
        <v>0.26829268292682928</v>
      </c>
      <c r="W4" s="1443">
        <v>0.10649350649350649</v>
      </c>
      <c r="X4" s="1457">
        <v>0.25</v>
      </c>
      <c r="Y4" s="1443">
        <v>0.11428571428571428</v>
      </c>
      <c r="Z4" s="1457">
        <v>0.15384615384615385</v>
      </c>
      <c r="AA4" s="1443">
        <v>0.18571428571428569</v>
      </c>
      <c r="AB4" s="1467">
        <v>0.36585365853658536</v>
      </c>
      <c r="AC4" s="1467">
        <v>7.8095238095238093E-2</v>
      </c>
      <c r="AD4" s="1468">
        <v>0.28947368421052633</v>
      </c>
      <c r="AE4" s="1453">
        <v>9.8701298701298693E-2</v>
      </c>
      <c r="AF4" s="1448">
        <v>0.1111111111111111</v>
      </c>
      <c r="AG4" s="1512">
        <v>0.25714285714285717</v>
      </c>
      <c r="AH4" s="1448">
        <v>4.3478260869565216E-2</v>
      </c>
      <c r="AI4" s="1513">
        <v>0.65714285714285714</v>
      </c>
      <c r="AJ4" s="1448">
        <v>0.3</v>
      </c>
      <c r="AK4" s="1448">
        <v>9.5238095238095233E-2</v>
      </c>
      <c r="AL4" s="1518">
        <v>0.16949152542372881</v>
      </c>
      <c r="AM4" s="1519">
        <v>0.16857142857142857</v>
      </c>
      <c r="AN4" s="1460">
        <v>0.12280701754385964</v>
      </c>
      <c r="AO4" s="1521">
        <v>0.23265306122448981</v>
      </c>
      <c r="AP4" s="1466">
        <v>8.5106382978723402E-2</v>
      </c>
      <c r="AQ4" s="1523">
        <v>0.33571428571428569</v>
      </c>
      <c r="AR4" s="1467">
        <v>0.15555555555555556</v>
      </c>
      <c r="AS4" s="1509">
        <v>0.18367346938775508</v>
      </c>
      <c r="AT4" s="1467">
        <v>2.8571428571428571E-2</v>
      </c>
      <c r="AU4" s="1508">
        <v>1</v>
      </c>
    </row>
    <row r="5" spans="1:70" s="1454" customFormat="1">
      <c r="A5" s="1299" t="s">
        <v>17</v>
      </c>
      <c r="B5" s="1303">
        <v>0.43478260869565222</v>
      </c>
      <c r="C5" s="1302">
        <v>0</v>
      </c>
      <c r="D5" s="1455">
        <v>0.25862068965517243</v>
      </c>
      <c r="E5" s="1441">
        <v>0.59482758620689657</v>
      </c>
      <c r="F5" s="1455">
        <v>0.32000000000000006</v>
      </c>
      <c r="G5" s="1441">
        <v>0.7360000000000001</v>
      </c>
      <c r="H5" s="1455">
        <v>0.21276595744680848</v>
      </c>
      <c r="I5" s="1441">
        <v>0.48936170212765945</v>
      </c>
      <c r="J5" s="1455">
        <v>0.14634146341463417</v>
      </c>
      <c r="K5" s="1441">
        <v>0.33658536585365856</v>
      </c>
      <c r="L5" s="1455">
        <v>0.27083333333333337</v>
      </c>
      <c r="M5" s="1441">
        <v>0.62291666666666667</v>
      </c>
      <c r="N5" s="1455">
        <v>0.29166666666666663</v>
      </c>
      <c r="O5" s="1441">
        <v>0.67083333333333317</v>
      </c>
      <c r="P5" s="1455">
        <v>0.23404255319148937</v>
      </c>
      <c r="Q5" s="1441">
        <v>0.53829787234042548</v>
      </c>
      <c r="R5" s="1457">
        <v>0.11428571428571428</v>
      </c>
      <c r="S5" s="1443">
        <v>0.26285714285714284</v>
      </c>
      <c r="T5" s="1457">
        <v>0.18181818181818182</v>
      </c>
      <c r="U5" s="1443">
        <v>0.41818181818181815</v>
      </c>
      <c r="V5" s="1457">
        <v>9.7560975609756101E-2</v>
      </c>
      <c r="W5" s="1443">
        <v>0.224390243902439</v>
      </c>
      <c r="X5" s="1457">
        <v>0.16666666666666666</v>
      </c>
      <c r="Y5" s="1443">
        <v>0.38333333333333325</v>
      </c>
      <c r="Z5" s="1457">
        <v>0.11538461538461539</v>
      </c>
      <c r="AA5" s="1443">
        <v>0.26538461538461539</v>
      </c>
      <c r="AB5" s="1467">
        <v>4.878048780487805E-2</v>
      </c>
      <c r="AC5" s="1467">
        <v>0.1121951219512195</v>
      </c>
      <c r="AD5" s="1468">
        <v>7.8947368421052627E-2</v>
      </c>
      <c r="AE5" s="1511">
        <v>0.18157894736842103</v>
      </c>
      <c r="AF5" s="1469">
        <v>0.37777777777777777</v>
      </c>
      <c r="AG5" s="1512">
        <v>0.86888888888888882</v>
      </c>
      <c r="AH5" s="1469">
        <v>0.43478260869565222</v>
      </c>
      <c r="AI5" s="1513">
        <v>1</v>
      </c>
      <c r="AJ5" s="1469">
        <v>3.3333333333333333E-2</v>
      </c>
      <c r="AK5" s="1469">
        <v>7.6666666666666661E-2</v>
      </c>
      <c r="AL5" s="1518">
        <v>6.7796610169491525E-2</v>
      </c>
      <c r="AM5" s="1519">
        <v>0.15593220338983049</v>
      </c>
      <c r="AN5" s="1460">
        <v>0.24561403508771928</v>
      </c>
      <c r="AO5" s="1446">
        <v>0.56491228070175425</v>
      </c>
      <c r="AP5" s="1466">
        <v>0.14893617021276595</v>
      </c>
      <c r="AQ5" s="1466">
        <v>0.34255319148936164</v>
      </c>
      <c r="AR5" s="1467">
        <v>0.26666666666666666</v>
      </c>
      <c r="AS5" s="1508">
        <v>0.61333333333333329</v>
      </c>
      <c r="AT5" s="1467">
        <v>0</v>
      </c>
      <c r="AU5" s="1467">
        <v>0</v>
      </c>
    </row>
    <row r="6" spans="1:70" s="1454" customFormat="1">
      <c r="A6" s="1299" t="s">
        <v>15</v>
      </c>
      <c r="B6" s="1305">
        <v>11.5</v>
      </c>
      <c r="C6" s="1304">
        <v>0</v>
      </c>
      <c r="D6" s="1442">
        <v>10.857142857142858</v>
      </c>
      <c r="E6" s="1470">
        <v>0.94409937888198758</v>
      </c>
      <c r="F6" s="1442">
        <v>11</v>
      </c>
      <c r="G6" s="1470">
        <v>0.95652173913043481</v>
      </c>
      <c r="H6" s="1442">
        <v>10.5</v>
      </c>
      <c r="I6" s="1470">
        <v>0.91304347826086951</v>
      </c>
      <c r="J6" s="1442">
        <v>10</v>
      </c>
      <c r="K6" s="1470">
        <v>0.86956521739130432</v>
      </c>
      <c r="L6" s="1442">
        <v>11.166666666666666</v>
      </c>
      <c r="M6" s="1470">
        <v>0.97101449275362317</v>
      </c>
      <c r="N6" s="1442">
        <v>11.333333333333334</v>
      </c>
      <c r="O6" s="1470">
        <v>0.98550724637681164</v>
      </c>
      <c r="P6" s="1442">
        <v>11</v>
      </c>
      <c r="Q6" s="1470">
        <v>0.95652173913043481</v>
      </c>
      <c r="R6" s="1471"/>
      <c r="S6" s="1472"/>
      <c r="T6" s="1471"/>
      <c r="U6" s="1472"/>
      <c r="V6" s="1471">
        <v>6</v>
      </c>
      <c r="W6" s="1472">
        <v>0.52173913043478259</v>
      </c>
      <c r="X6" s="1471">
        <v>4</v>
      </c>
      <c r="Y6" s="1472">
        <v>0.34782608695652173</v>
      </c>
      <c r="Z6" s="1471"/>
      <c r="AA6" s="1472"/>
      <c r="AB6" s="1506"/>
      <c r="AC6" s="1506"/>
      <c r="AD6" s="1475">
        <v>8.25</v>
      </c>
      <c r="AE6" s="1510">
        <v>0.71739130434782605</v>
      </c>
      <c r="AF6" s="1473">
        <v>11</v>
      </c>
      <c r="AG6" s="1513">
        <v>0.95652173913043481</v>
      </c>
      <c r="AH6" s="1473"/>
      <c r="AI6" s="1473"/>
      <c r="AJ6" s="1473"/>
      <c r="AK6" s="1473"/>
      <c r="AL6" s="1520">
        <v>9.6666666666666661</v>
      </c>
      <c r="AM6" s="1515">
        <v>0.84057971014492749</v>
      </c>
      <c r="AN6" s="1507"/>
      <c r="AO6" s="1507"/>
      <c r="AP6" s="1474">
        <v>9.75</v>
      </c>
      <c r="AQ6" s="1523">
        <v>0.84782608695652173</v>
      </c>
      <c r="AR6" s="1506">
        <v>7.5555555555555554</v>
      </c>
      <c r="AS6" s="1508">
        <v>0.65700483091787443</v>
      </c>
      <c r="AT6" s="1506"/>
      <c r="AU6" s="1506"/>
    </row>
    <row r="7" spans="1:70" s="1476" customFormat="1" ht="15.75" thickBot="1">
      <c r="A7" s="1301" t="s">
        <v>14</v>
      </c>
      <c r="B7" s="1298"/>
      <c r="C7" s="1300"/>
      <c r="D7" s="1610">
        <v>0.55421844447465118</v>
      </c>
      <c r="E7" s="1611"/>
      <c r="F7" s="1613">
        <v>0.60805058301166637</v>
      </c>
      <c r="G7" s="1613"/>
      <c r="H7" s="1615">
        <v>0.5744581483736183</v>
      </c>
      <c r="I7" s="1615"/>
      <c r="J7" s="1618">
        <v>0.54788916731444071</v>
      </c>
      <c r="K7" s="1618"/>
      <c r="L7" s="1615">
        <v>0.62107806118408404</v>
      </c>
      <c r="M7" s="1615"/>
      <c r="N7" s="1619">
        <v>0.66741851927276019</v>
      </c>
      <c r="O7" s="1620"/>
      <c r="P7" s="1621">
        <v>0.5802830854669403</v>
      </c>
      <c r="Q7" s="1615"/>
      <c r="R7" s="1622">
        <v>0.39080536039552433</v>
      </c>
      <c r="S7" s="1622"/>
      <c r="T7" s="1622">
        <v>0.43337073900598494</v>
      </c>
      <c r="U7" s="1622"/>
      <c r="V7" s="1622">
        <v>0.28762440290211788</v>
      </c>
      <c r="W7" s="1622"/>
      <c r="X7" s="1622">
        <v>0.2947720870244035</v>
      </c>
      <c r="Y7" s="1622"/>
      <c r="Z7" s="1622">
        <v>0.35900213174803336</v>
      </c>
      <c r="AA7" s="1622"/>
      <c r="AB7" s="1625">
        <v>0.2275639268102283</v>
      </c>
      <c r="AC7" s="1625"/>
      <c r="AD7" s="1616">
        <v>0.36542444525750978</v>
      </c>
      <c r="AE7" s="1616"/>
      <c r="AF7" s="1627">
        <v>0.69781523341893981</v>
      </c>
      <c r="AG7" s="1627"/>
      <c r="AH7" s="1628">
        <v>0.85178571428571426</v>
      </c>
      <c r="AI7" s="1628"/>
      <c r="AJ7" s="1627">
        <v>0.20194704657819412</v>
      </c>
      <c r="AK7" s="1627"/>
      <c r="AL7" s="1629">
        <v>0.47151501672786572</v>
      </c>
      <c r="AM7" s="1629"/>
      <c r="AN7" s="1613">
        <v>0.44355776247801393</v>
      </c>
      <c r="AO7" s="1613"/>
      <c r="AP7" s="1633">
        <v>0.45198570005943262</v>
      </c>
      <c r="AQ7" s="1633"/>
      <c r="AR7" s="1630">
        <v>0.46663717797247983</v>
      </c>
      <c r="AS7" s="1630"/>
      <c r="AT7" s="1625">
        <v>0.46596409055425447</v>
      </c>
      <c r="AU7" s="1625"/>
    </row>
    <row r="8" spans="1:70" s="247" customFormat="1" ht="15.75" thickTop="1">
      <c r="B8" s="1477"/>
      <c r="D8" s="1439"/>
      <c r="E8" s="1439"/>
      <c r="F8" s="1439"/>
      <c r="G8" s="1465"/>
      <c r="H8" s="1439"/>
      <c r="I8" s="1439"/>
      <c r="J8" s="1439"/>
      <c r="L8" s="1439"/>
      <c r="M8" s="1478"/>
      <c r="N8" s="1439"/>
      <c r="P8" s="1439"/>
      <c r="R8" s="1439"/>
      <c r="S8" s="1439"/>
      <c r="T8" s="1439"/>
      <c r="U8" s="1439"/>
      <c r="V8" s="1439"/>
      <c r="W8" s="1439"/>
      <c r="X8" s="1439"/>
      <c r="Y8" s="1439"/>
      <c r="Z8" s="1439"/>
      <c r="AA8" s="1439"/>
      <c r="AB8" s="1439"/>
      <c r="AC8" s="1439"/>
      <c r="AD8" s="1439"/>
      <c r="AE8" s="1439"/>
      <c r="AF8" s="1439"/>
      <c r="AG8" s="1439"/>
      <c r="AH8" s="1439"/>
      <c r="AI8" s="1439"/>
      <c r="AJ8" s="1439"/>
      <c r="AK8" s="1439"/>
      <c r="AL8" s="1439"/>
      <c r="AM8" s="1439"/>
      <c r="AN8" s="1439"/>
      <c r="AO8" s="1439"/>
      <c r="AP8" s="1439"/>
      <c r="AQ8" s="1439"/>
      <c r="AR8" s="1439"/>
      <c r="AS8" s="1439"/>
      <c r="AT8" s="1439"/>
      <c r="AU8" s="1439"/>
      <c r="AV8" s="1439"/>
      <c r="AW8" s="1439"/>
      <c r="AX8" s="1439"/>
      <c r="AY8" s="1439"/>
      <c r="AZ8" s="1439"/>
      <c r="BA8" s="1439"/>
      <c r="BB8" s="1439"/>
      <c r="BC8" s="1439"/>
      <c r="BD8" s="1439"/>
      <c r="BE8" s="1439"/>
      <c r="BF8" s="1479"/>
      <c r="BG8" s="1479"/>
      <c r="BH8" s="1439"/>
      <c r="BI8" s="1439"/>
      <c r="BJ8" s="1439"/>
      <c r="BK8" s="1439"/>
      <c r="BL8" s="1439"/>
      <c r="BM8" s="1439"/>
      <c r="BN8" s="1439"/>
      <c r="BO8" s="1439"/>
      <c r="BP8" s="1439"/>
      <c r="BQ8" s="1439"/>
      <c r="BR8" s="1439"/>
    </row>
    <row r="9" spans="1:70" s="1488" customFormat="1" ht="132.75" customHeight="1">
      <c r="A9" s="1485"/>
      <c r="B9" s="1486" t="s">
        <v>241</v>
      </c>
      <c r="C9" s="1487" t="s">
        <v>242</v>
      </c>
      <c r="D9" s="1604" t="s">
        <v>238</v>
      </c>
      <c r="E9" s="1605"/>
      <c r="F9" s="1604" t="s">
        <v>237</v>
      </c>
      <c r="G9" s="1605"/>
      <c r="H9" s="1604" t="s">
        <v>236</v>
      </c>
      <c r="I9" s="1605"/>
      <c r="J9" s="1604" t="s">
        <v>235</v>
      </c>
      <c r="K9" s="1605"/>
      <c r="L9" s="1604" t="s">
        <v>234</v>
      </c>
      <c r="M9" s="1605"/>
      <c r="N9" s="1604" t="s">
        <v>233</v>
      </c>
      <c r="O9" s="1605"/>
      <c r="P9" s="1604" t="s">
        <v>232</v>
      </c>
      <c r="Q9" s="1605"/>
      <c r="R9" s="1604" t="s">
        <v>231</v>
      </c>
      <c r="S9" s="1605"/>
      <c r="T9" s="1604" t="s">
        <v>230</v>
      </c>
      <c r="U9" s="1605"/>
      <c r="V9" s="1604" t="s">
        <v>229</v>
      </c>
      <c r="W9" s="1605"/>
      <c r="X9" s="1604" t="s">
        <v>228</v>
      </c>
      <c r="Y9" s="1605"/>
      <c r="Z9" s="1604" t="s">
        <v>227</v>
      </c>
      <c r="AA9" s="1605"/>
      <c r="AB9" s="1604" t="s">
        <v>226</v>
      </c>
      <c r="AC9" s="1605"/>
      <c r="AD9" s="1604" t="s">
        <v>225</v>
      </c>
      <c r="AE9" s="1605"/>
      <c r="AF9" s="1604" t="s">
        <v>224</v>
      </c>
      <c r="AG9" s="1605"/>
      <c r="AH9" s="1604" t="s">
        <v>223</v>
      </c>
      <c r="AI9" s="1605"/>
      <c r="AJ9" s="1604" t="s">
        <v>222</v>
      </c>
      <c r="AK9" s="1605"/>
      <c r="AL9" s="1604" t="s">
        <v>221</v>
      </c>
      <c r="AM9" s="1605"/>
      <c r="AN9" s="1604" t="s">
        <v>220</v>
      </c>
      <c r="AO9" s="1605"/>
      <c r="AP9" s="1604" t="s">
        <v>219</v>
      </c>
      <c r="AQ9" s="1605"/>
      <c r="AR9" s="1604" t="s">
        <v>218</v>
      </c>
      <c r="AS9" s="1605"/>
      <c r="AT9" s="1604" t="s">
        <v>217</v>
      </c>
      <c r="AU9" s="1605"/>
    </row>
    <row r="10" spans="1:70" s="1494" customFormat="1">
      <c r="A10" s="1489" t="s">
        <v>40</v>
      </c>
      <c r="B10" s="1490">
        <v>6.9848484848484844</v>
      </c>
      <c r="C10" s="1491">
        <v>3.4714285714285715</v>
      </c>
      <c r="D10" s="1492">
        <v>4.367647058823529</v>
      </c>
      <c r="E10" s="1493">
        <v>0.62530304963634042</v>
      </c>
      <c r="F10" s="1492">
        <v>5.0666666666666664</v>
      </c>
      <c r="G10" s="1493">
        <v>0.72537960954446856</v>
      </c>
      <c r="H10" s="1492">
        <v>5.070422535211268</v>
      </c>
      <c r="I10" s="1493">
        <v>0.72591732608230741</v>
      </c>
      <c r="J10" s="1492">
        <v>4.4242424242424239</v>
      </c>
      <c r="K10" s="1493">
        <v>0.63340563991323207</v>
      </c>
      <c r="L10" s="1492">
        <v>6.0882352941176467</v>
      </c>
      <c r="M10" s="1493">
        <v>0.87163455403853518</v>
      </c>
      <c r="N10" s="1492">
        <v>5.2647058823529411</v>
      </c>
      <c r="O10" s="1493">
        <v>0.75373229552124543</v>
      </c>
      <c r="P10" s="1492">
        <v>4.6911764705882355</v>
      </c>
      <c r="Q10" s="1493">
        <v>0.67162179405384725</v>
      </c>
      <c r="R10" s="1492">
        <v>4.4814814814814818</v>
      </c>
      <c r="S10" s="1493">
        <v>0.64160038563509292</v>
      </c>
      <c r="T10" s="1492">
        <v>4.9361702127659575</v>
      </c>
      <c r="U10" s="1493">
        <v>0.70669682004892242</v>
      </c>
      <c r="V10" s="1492">
        <v>4.6046511627906979</v>
      </c>
      <c r="W10" s="1493">
        <v>0.65923422287242095</v>
      </c>
      <c r="X10" s="1492">
        <v>5.3684210526315788</v>
      </c>
      <c r="Y10" s="1493">
        <v>0.76858088822924997</v>
      </c>
      <c r="Z10" s="1492">
        <v>4.5185185185185182</v>
      </c>
      <c r="AA10" s="1493">
        <v>0.64690286816100262</v>
      </c>
      <c r="AB10" s="1492">
        <v>5.0571428571428569</v>
      </c>
      <c r="AC10" s="1493">
        <v>0.72401611403780608</v>
      </c>
      <c r="AD10" s="1492">
        <v>4.2352941176470589</v>
      </c>
      <c r="AE10" s="1493">
        <v>0.60635447237463325</v>
      </c>
      <c r="AF10" s="1492">
        <v>6.9848484848484844</v>
      </c>
      <c r="AG10" s="1493">
        <v>1</v>
      </c>
      <c r="AH10" s="1492">
        <v>4.5737704918032787</v>
      </c>
      <c r="AI10" s="1493">
        <v>0.65481312897834365</v>
      </c>
      <c r="AJ10" s="1492">
        <v>4.645833333333333</v>
      </c>
      <c r="AK10" s="1493">
        <v>0.66513015184381774</v>
      </c>
      <c r="AL10" s="1492">
        <v>5.1551724137931032</v>
      </c>
      <c r="AM10" s="1493">
        <v>0.73805071433914282</v>
      </c>
      <c r="AN10" s="1492">
        <v>4.2452830188679247</v>
      </c>
      <c r="AO10" s="1493">
        <v>0.60778455367740358</v>
      </c>
      <c r="AP10" s="1492">
        <v>5.5849056603773581</v>
      </c>
      <c r="AQ10" s="1493">
        <v>0.79957434617116196</v>
      </c>
      <c r="AR10" s="1492">
        <v>4.9523809523809526</v>
      </c>
      <c r="AS10" s="1493">
        <v>0.70901766346451822</v>
      </c>
      <c r="AT10" s="1492">
        <v>3.9148936170212765</v>
      </c>
      <c r="AU10" s="1493">
        <v>0.56048368486638667</v>
      </c>
    </row>
    <row r="11" spans="1:70" s="1494" customFormat="1">
      <c r="A11" s="1489" t="s">
        <v>34</v>
      </c>
      <c r="B11" s="1495">
        <v>0.6</v>
      </c>
      <c r="C11" s="1496">
        <v>9.0909090909090912E-2</v>
      </c>
      <c r="D11" s="1497">
        <v>0.41666666666666669</v>
      </c>
      <c r="E11" s="1493">
        <v>0.69444444444444453</v>
      </c>
      <c r="F11" s="1497">
        <v>0.15789473684210525</v>
      </c>
      <c r="G11" s="1493">
        <v>0.26315789473684209</v>
      </c>
      <c r="H11" s="1497">
        <v>0.35</v>
      </c>
      <c r="I11" s="1493">
        <v>0.58333333333333337</v>
      </c>
      <c r="J11" s="1497">
        <v>0.27272727272727271</v>
      </c>
      <c r="K11" s="1493">
        <v>0.45454545454545453</v>
      </c>
      <c r="L11" s="1497">
        <v>0.5</v>
      </c>
      <c r="M11" s="1493">
        <v>0.83333333333333337</v>
      </c>
      <c r="N11" s="1497">
        <v>0.38461538461538464</v>
      </c>
      <c r="O11" s="1493">
        <v>0.64102564102564108</v>
      </c>
      <c r="P11" s="1497">
        <v>0.42857142857142855</v>
      </c>
      <c r="Q11" s="1493">
        <v>0.7142857142857143</v>
      </c>
      <c r="R11" s="1497">
        <v>0.33333333333333331</v>
      </c>
      <c r="S11" s="1493">
        <v>0.55555555555555558</v>
      </c>
      <c r="T11" s="1497">
        <v>0.4</v>
      </c>
      <c r="U11" s="1493">
        <v>0.66666666666666674</v>
      </c>
      <c r="V11" s="1497">
        <v>0.27272727272727271</v>
      </c>
      <c r="W11" s="1493">
        <v>0.45454545454545453</v>
      </c>
      <c r="X11" s="1497">
        <v>0.33333333333333331</v>
      </c>
      <c r="Y11" s="1493">
        <v>0.55555555555555558</v>
      </c>
      <c r="Z11" s="1497">
        <v>0.5</v>
      </c>
      <c r="AA11" s="1493">
        <v>0.83333333333333337</v>
      </c>
      <c r="AB11" s="1497">
        <v>0.25</v>
      </c>
      <c r="AC11" s="1493">
        <v>0.41666666666666669</v>
      </c>
      <c r="AD11" s="1497">
        <v>0.6</v>
      </c>
      <c r="AE11" s="1493">
        <v>1</v>
      </c>
      <c r="AF11" s="1497">
        <v>0.27272727272727271</v>
      </c>
      <c r="AG11" s="1493">
        <v>0.45454545454545453</v>
      </c>
      <c r="AH11" s="1497">
        <v>0.42857142857142855</v>
      </c>
      <c r="AI11" s="1493">
        <v>0.7142857142857143</v>
      </c>
      <c r="AJ11" s="1497">
        <v>0.4</v>
      </c>
      <c r="AK11" s="1493">
        <v>0.66666666666666674</v>
      </c>
      <c r="AL11" s="1497">
        <v>0.44444444444444442</v>
      </c>
      <c r="AM11" s="1493">
        <v>0.7407407407407407</v>
      </c>
      <c r="AN11" s="1497">
        <v>0.33333333333333331</v>
      </c>
      <c r="AO11" s="1493">
        <v>0.55555555555555558</v>
      </c>
      <c r="AP11" s="1497">
        <v>0.42857142857142855</v>
      </c>
      <c r="AQ11" s="1493">
        <v>0.7142857142857143</v>
      </c>
      <c r="AR11" s="1497">
        <v>9.0909090909090912E-2</v>
      </c>
      <c r="AS11" s="1493">
        <v>0.15151515151515152</v>
      </c>
      <c r="AT11" s="1497">
        <v>0.3</v>
      </c>
      <c r="AU11" s="1493">
        <v>0.5</v>
      </c>
    </row>
    <row r="12" spans="1:70" s="1494" customFormat="1">
      <c r="A12" s="1489" t="s">
        <v>29</v>
      </c>
      <c r="B12" s="1495">
        <v>0.10638297872340426</v>
      </c>
      <c r="C12" s="1496">
        <v>0.25</v>
      </c>
      <c r="D12" s="1497">
        <v>0.22058823529411764</v>
      </c>
      <c r="E12" s="1493">
        <v>0.48226950354609932</v>
      </c>
      <c r="F12" s="1497">
        <v>0.10666666666666667</v>
      </c>
      <c r="G12" s="1493">
        <v>0.99734042553191482</v>
      </c>
      <c r="H12" s="1497">
        <v>0.16901408450704225</v>
      </c>
      <c r="I12" s="1493">
        <v>0.62943262411347523</v>
      </c>
      <c r="J12" s="1497">
        <v>0.21212121212121213</v>
      </c>
      <c r="K12" s="1493">
        <v>0.50151975683890582</v>
      </c>
      <c r="L12" s="1497">
        <v>0.16176470588235295</v>
      </c>
      <c r="M12" s="1493">
        <v>0.65764023210831724</v>
      </c>
      <c r="N12" s="1497">
        <v>0.22058823529411764</v>
      </c>
      <c r="O12" s="1493">
        <v>0.48226950354609932</v>
      </c>
      <c r="P12" s="1497">
        <v>0.19117647058823528</v>
      </c>
      <c r="Q12" s="1493">
        <v>0.55646481178396079</v>
      </c>
      <c r="R12" s="1497">
        <v>0.18518518518518517</v>
      </c>
      <c r="S12" s="1493">
        <v>0.57446808510638303</v>
      </c>
      <c r="T12" s="1497">
        <v>0.1702127659574468</v>
      </c>
      <c r="U12" s="1493">
        <v>0.625</v>
      </c>
      <c r="V12" s="1497">
        <v>0.18604651162790697</v>
      </c>
      <c r="W12" s="1493">
        <v>0.57180851063829785</v>
      </c>
      <c r="X12" s="1497">
        <v>0.17543859649122806</v>
      </c>
      <c r="Y12" s="1493">
        <v>0.6063829787234043</v>
      </c>
      <c r="Z12" s="1497">
        <v>0.20370370370370369</v>
      </c>
      <c r="AA12" s="1493">
        <v>0.52224371373307543</v>
      </c>
      <c r="AB12" s="1497">
        <v>0.24285714285714285</v>
      </c>
      <c r="AC12" s="1493">
        <v>0.43804755944931167</v>
      </c>
      <c r="AD12" s="1497">
        <v>0.25</v>
      </c>
      <c r="AE12" s="1493">
        <v>0.42553191489361702</v>
      </c>
      <c r="AF12" s="1497">
        <v>0.12121212121212122</v>
      </c>
      <c r="AG12" s="1493">
        <v>0.87765957446808507</v>
      </c>
      <c r="AH12" s="1497">
        <v>0.21311475409836064</v>
      </c>
      <c r="AI12" s="1493">
        <v>0.49918166939443537</v>
      </c>
      <c r="AJ12" s="1497">
        <v>0.16666666666666666</v>
      </c>
      <c r="AK12" s="1493">
        <v>0.63829787234042556</v>
      </c>
      <c r="AL12" s="1497">
        <v>0.13793103448275862</v>
      </c>
      <c r="AM12" s="1493">
        <v>0.77127659574468088</v>
      </c>
      <c r="AN12" s="1497">
        <v>0.18867924528301888</v>
      </c>
      <c r="AO12" s="1493">
        <v>0.56382978723404253</v>
      </c>
      <c r="AP12" s="1497">
        <v>0.18867924528301888</v>
      </c>
      <c r="AQ12" s="1493">
        <v>0.56382978723404253</v>
      </c>
      <c r="AR12" s="1497">
        <v>0.15873015873015872</v>
      </c>
      <c r="AS12" s="1493">
        <v>0.67021276595744683</v>
      </c>
      <c r="AT12" s="1497">
        <v>0.10638297872340426</v>
      </c>
      <c r="AU12" s="1493">
        <v>1</v>
      </c>
    </row>
    <row r="13" spans="1:70" s="1494" customFormat="1">
      <c r="A13" s="1489" t="s">
        <v>213</v>
      </c>
      <c r="B13" s="1495">
        <v>0.34848484848484851</v>
      </c>
      <c r="C13" s="1496">
        <v>2.1276595744680851E-2</v>
      </c>
      <c r="D13" s="1497">
        <v>0.17647058823529413</v>
      </c>
      <c r="E13" s="1493">
        <v>0.50639386189258306</v>
      </c>
      <c r="F13" s="1497">
        <v>0.26666666666666666</v>
      </c>
      <c r="G13" s="1493">
        <v>0.76521739130434774</v>
      </c>
      <c r="H13" s="1497">
        <v>0.19718309859154931</v>
      </c>
      <c r="I13" s="1493">
        <v>0.56582976117575012</v>
      </c>
      <c r="J13" s="1497">
        <v>7.575757575757576E-2</v>
      </c>
      <c r="K13" s="1493">
        <v>0.21739130434782608</v>
      </c>
      <c r="L13" s="1497">
        <v>0.20588235294117646</v>
      </c>
      <c r="M13" s="1493">
        <v>0.59079283887468026</v>
      </c>
      <c r="N13" s="1497">
        <v>0.19117647058823528</v>
      </c>
      <c r="O13" s="1493">
        <v>0.54859335038363166</v>
      </c>
      <c r="P13" s="1497">
        <v>0.13235294117647059</v>
      </c>
      <c r="Q13" s="1493">
        <v>0.37979539641943733</v>
      </c>
      <c r="R13" s="1497">
        <v>0.1111111111111111</v>
      </c>
      <c r="S13" s="1493">
        <v>0.3188405797101449</v>
      </c>
      <c r="T13" s="1497">
        <v>8.5106382978723402E-2</v>
      </c>
      <c r="U13" s="1493">
        <v>0.24421831637372801</v>
      </c>
      <c r="V13" s="1497">
        <v>0.11627906976744186</v>
      </c>
      <c r="W13" s="1493">
        <v>0.3336703741152679</v>
      </c>
      <c r="X13" s="1497">
        <v>0.22807017543859648</v>
      </c>
      <c r="Y13" s="1493">
        <v>0.65446224256292895</v>
      </c>
      <c r="Z13" s="1497">
        <v>0.14814814814814814</v>
      </c>
      <c r="AA13" s="1493">
        <v>0.42512077294685985</v>
      </c>
      <c r="AB13" s="1497">
        <v>0.17142857142857143</v>
      </c>
      <c r="AC13" s="1493">
        <v>0.49192546583850927</v>
      </c>
      <c r="AD13" s="1497">
        <v>0.17647058823529413</v>
      </c>
      <c r="AE13" s="1493">
        <v>0.50639386189258306</v>
      </c>
      <c r="AF13" s="1497">
        <v>0.34848484848484851</v>
      </c>
      <c r="AG13" s="1493">
        <v>1</v>
      </c>
      <c r="AH13" s="1497">
        <v>0.11475409836065574</v>
      </c>
      <c r="AI13" s="1493">
        <v>0.3292943692088382</v>
      </c>
      <c r="AJ13" s="1497">
        <v>0.14583333333333331</v>
      </c>
      <c r="AK13" s="1493">
        <v>0.41847826086956513</v>
      </c>
      <c r="AL13" s="1497">
        <v>0.18965517241379309</v>
      </c>
      <c r="AM13" s="1493">
        <v>0.54422788605697148</v>
      </c>
      <c r="AN13" s="1497">
        <v>0.15094339622641512</v>
      </c>
      <c r="AO13" s="1493">
        <v>0.43314191960623466</v>
      </c>
      <c r="AP13" s="1497">
        <v>0.22641509433962265</v>
      </c>
      <c r="AQ13" s="1493">
        <v>0.64971287940935185</v>
      </c>
      <c r="AR13" s="1497">
        <v>0.22222222222222221</v>
      </c>
      <c r="AS13" s="1493">
        <v>0.6376811594202898</v>
      </c>
      <c r="AT13" s="1497">
        <v>2.1276595744680851E-2</v>
      </c>
      <c r="AU13" s="1493">
        <v>6.1054579093432003E-2</v>
      </c>
    </row>
    <row r="14" spans="1:70" s="1494" customFormat="1">
      <c r="A14" s="1489" t="s">
        <v>15</v>
      </c>
      <c r="B14" s="1490">
        <v>12</v>
      </c>
      <c r="C14" s="1491">
        <v>5.833333333333333</v>
      </c>
      <c r="D14" s="1492">
        <v>9.6666666666666661</v>
      </c>
      <c r="E14" s="1498">
        <v>0.80555555555555547</v>
      </c>
      <c r="F14" s="1492">
        <v>11</v>
      </c>
      <c r="G14" s="1498">
        <v>0.91666666666666663</v>
      </c>
      <c r="H14" s="1492">
        <v>12</v>
      </c>
      <c r="I14" s="1498">
        <v>1</v>
      </c>
      <c r="J14" s="1492"/>
      <c r="K14" s="1499"/>
      <c r="L14" s="1492">
        <v>10.8</v>
      </c>
      <c r="M14" s="1498">
        <v>0.9</v>
      </c>
      <c r="N14" s="1492">
        <v>11</v>
      </c>
      <c r="O14" s="1498">
        <v>0.91666666666666663</v>
      </c>
      <c r="P14" s="1492">
        <v>7.5</v>
      </c>
      <c r="Q14" s="1498">
        <v>0.625</v>
      </c>
      <c r="R14" s="1492"/>
      <c r="S14" s="1499"/>
      <c r="T14" s="1492">
        <v>9</v>
      </c>
      <c r="U14" s="1498">
        <v>0.75</v>
      </c>
      <c r="V14" s="1492">
        <v>8.3333333333333339</v>
      </c>
      <c r="W14" s="1498">
        <v>0.69444444444444453</v>
      </c>
      <c r="X14" s="1492">
        <v>10.090909090909092</v>
      </c>
      <c r="Y14" s="1498">
        <v>0.84090909090909094</v>
      </c>
      <c r="Z14" s="1492"/>
      <c r="AA14" s="1499"/>
      <c r="AB14" s="1492">
        <v>6</v>
      </c>
      <c r="AC14" s="1498">
        <v>0.5</v>
      </c>
      <c r="AD14" s="1492">
        <v>12</v>
      </c>
      <c r="AE14" s="1498">
        <v>1</v>
      </c>
      <c r="AF14" s="1492">
        <v>10</v>
      </c>
      <c r="AG14" s="1498">
        <v>0.83333333333333337</v>
      </c>
      <c r="AH14" s="1492"/>
      <c r="AI14" s="1499"/>
      <c r="AJ14" s="1492"/>
      <c r="AK14" s="1499"/>
      <c r="AL14" s="1492">
        <v>5.833333333333333</v>
      </c>
      <c r="AM14" s="1498">
        <v>0.4861111111111111</v>
      </c>
      <c r="AN14" s="1492"/>
      <c r="AO14" s="1499"/>
      <c r="AP14" s="1492"/>
      <c r="AQ14" s="1499"/>
      <c r="AR14" s="1492">
        <v>7.7</v>
      </c>
      <c r="AS14" s="1498">
        <v>0.64166666666666672</v>
      </c>
      <c r="AT14" s="1492"/>
      <c r="AU14" s="1499"/>
    </row>
    <row r="15" spans="1:70" s="1503" customFormat="1" ht="15.75" thickBot="1">
      <c r="A15" s="1500" t="s">
        <v>211</v>
      </c>
      <c r="B15" s="1501"/>
      <c r="C15" s="1502"/>
      <c r="D15" s="1606">
        <v>0.62279328301500458</v>
      </c>
      <c r="E15" s="1607"/>
      <c r="F15" s="1606">
        <v>0.73355239755684798</v>
      </c>
      <c r="G15" s="1607"/>
      <c r="H15" s="1606">
        <v>0.70090260894097323</v>
      </c>
      <c r="I15" s="1607"/>
      <c r="J15" s="1606">
        <v>0.45171553891135463</v>
      </c>
      <c r="K15" s="1607"/>
      <c r="L15" s="1606">
        <v>0.77068019167097312</v>
      </c>
      <c r="M15" s="1607"/>
      <c r="N15" s="1606">
        <v>0.66845749142865685</v>
      </c>
      <c r="O15" s="1607"/>
      <c r="P15" s="1606">
        <v>0.58943354330859188</v>
      </c>
      <c r="Q15" s="1607"/>
      <c r="R15" s="1606">
        <v>0.52261615150179419</v>
      </c>
      <c r="S15" s="1607"/>
      <c r="T15" s="1606">
        <v>0.5985163606178634</v>
      </c>
      <c r="U15" s="1607"/>
      <c r="V15" s="1606">
        <v>0.54274060132317714</v>
      </c>
      <c r="W15" s="1607"/>
      <c r="X15" s="1606">
        <v>0.68517815119604586</v>
      </c>
      <c r="Y15" s="1607"/>
      <c r="Z15" s="1606">
        <v>0.60690017204356783</v>
      </c>
      <c r="AA15" s="1607"/>
      <c r="AB15" s="1606">
        <v>0.5141311611984587</v>
      </c>
      <c r="AC15" s="1607"/>
      <c r="AD15" s="1606">
        <v>0.70765604983216668</v>
      </c>
      <c r="AE15" s="1607"/>
      <c r="AF15" s="1606">
        <v>0.83310767246937467</v>
      </c>
      <c r="AG15" s="1607"/>
      <c r="AH15" s="1606">
        <v>0.54939372046683288</v>
      </c>
      <c r="AI15" s="1607"/>
      <c r="AJ15" s="1606">
        <v>0.59714323793011881</v>
      </c>
      <c r="AK15" s="1607"/>
      <c r="AL15" s="1606">
        <v>0.65608140959852945</v>
      </c>
      <c r="AM15" s="1607"/>
      <c r="AN15" s="1606">
        <v>0.54007795401830916</v>
      </c>
      <c r="AO15" s="1607"/>
      <c r="AP15" s="1606">
        <v>0.68185068177506758</v>
      </c>
      <c r="AQ15" s="1607"/>
      <c r="AR15" s="1606">
        <v>0.5620186814048147</v>
      </c>
      <c r="AS15" s="1607"/>
      <c r="AT15" s="1606">
        <v>0.53038456598995465</v>
      </c>
      <c r="AU15" s="1607"/>
    </row>
    <row r="16" spans="1:70" ht="15.75" thickTop="1"/>
  </sheetData>
  <mergeCells count="88">
    <mergeCell ref="R1:S1"/>
    <mergeCell ref="AB1:AC1"/>
    <mergeCell ref="Z1:AA1"/>
    <mergeCell ref="X1:Y1"/>
    <mergeCell ref="V1:W1"/>
    <mergeCell ref="T1:U1"/>
    <mergeCell ref="AR7:AS7"/>
    <mergeCell ref="AT7:AU7"/>
    <mergeCell ref="AT1:AU1"/>
    <mergeCell ref="AR1:AS1"/>
    <mergeCell ref="AP1:AQ1"/>
    <mergeCell ref="AP7:AQ7"/>
    <mergeCell ref="AN1:AO1"/>
    <mergeCell ref="AF7:AG7"/>
    <mergeCell ref="AH7:AI7"/>
    <mergeCell ref="AJ7:AK7"/>
    <mergeCell ref="AL7:AM7"/>
    <mergeCell ref="AN7:AO7"/>
    <mergeCell ref="AL1:AM1"/>
    <mergeCell ref="AJ1:AK1"/>
    <mergeCell ref="AH1:AI1"/>
    <mergeCell ref="AF1:AG1"/>
    <mergeCell ref="AD7:AE7"/>
    <mergeCell ref="J1:K1"/>
    <mergeCell ref="J7:K7"/>
    <mergeCell ref="L7:M7"/>
    <mergeCell ref="N7:O7"/>
    <mergeCell ref="P7:Q7"/>
    <mergeCell ref="R7:S7"/>
    <mergeCell ref="L1:M1"/>
    <mergeCell ref="N1:O1"/>
    <mergeCell ref="T7:U7"/>
    <mergeCell ref="V7:W7"/>
    <mergeCell ref="X7:Y7"/>
    <mergeCell ref="Z7:AA7"/>
    <mergeCell ref="AB7:AC7"/>
    <mergeCell ref="P1:Q1"/>
    <mergeCell ref="AD1:AE1"/>
    <mergeCell ref="D1:E1"/>
    <mergeCell ref="D7:E7"/>
    <mergeCell ref="F1:G1"/>
    <mergeCell ref="F7:G7"/>
    <mergeCell ref="H1:I1"/>
    <mergeCell ref="H7:I7"/>
    <mergeCell ref="AT15:AU15"/>
    <mergeCell ref="X15:Y15"/>
    <mergeCell ref="Z15:AA15"/>
    <mergeCell ref="AB15:AC15"/>
    <mergeCell ref="AD15:AE15"/>
    <mergeCell ref="AF15:AG15"/>
    <mergeCell ref="AH15:AI15"/>
    <mergeCell ref="AJ15:AK15"/>
    <mergeCell ref="AL15:AM15"/>
    <mergeCell ref="AN15:AO15"/>
    <mergeCell ref="AP15:AQ15"/>
    <mergeCell ref="AR15:AS15"/>
    <mergeCell ref="L15:M15"/>
    <mergeCell ref="N15:O15"/>
    <mergeCell ref="P15:Q15"/>
    <mergeCell ref="R15:S15"/>
    <mergeCell ref="T15:U15"/>
    <mergeCell ref="V15:W15"/>
    <mergeCell ref="AL9:AM9"/>
    <mergeCell ref="AN9:AO9"/>
    <mergeCell ref="AP9:AQ9"/>
    <mergeCell ref="AR9:AS9"/>
    <mergeCell ref="X9:Y9"/>
    <mergeCell ref="AT9:AU9"/>
    <mergeCell ref="D15:E15"/>
    <mergeCell ref="F15:G15"/>
    <mergeCell ref="H15:I15"/>
    <mergeCell ref="J15:K15"/>
    <mergeCell ref="Z9:AA9"/>
    <mergeCell ref="AB9:AC9"/>
    <mergeCell ref="AD9:AE9"/>
    <mergeCell ref="AF9:AG9"/>
    <mergeCell ref="AH9:AI9"/>
    <mergeCell ref="AJ9:AK9"/>
    <mergeCell ref="N9:O9"/>
    <mergeCell ref="P9:Q9"/>
    <mergeCell ref="R9:S9"/>
    <mergeCell ref="T9:U9"/>
    <mergeCell ref="V9:W9"/>
    <mergeCell ref="D9:E9"/>
    <mergeCell ref="F9:G9"/>
    <mergeCell ref="H9:I9"/>
    <mergeCell ref="J9:K9"/>
    <mergeCell ref="L9:M9"/>
  </mergeCells>
  <conditionalFormatting sqref="AG10:AG14 AC10:AC14 W10:W14 O10:O14 G10:G14 AK10:AK14 AA10:AA14 S10:S14 K10:K14 AQ10:AQ14">
    <cfRule type="colorScale" priority="5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10:AS14 AM10:AM14 AE10:AE14 Y10:Y14 U10:U14 Q10:Q14 M10:M14 I10:I14 AI10:AI14 AO10:AO14 AU10:AU14">
    <cfRule type="colorScale" priority="5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:E14">
    <cfRule type="colorScale" priority="5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 E2 I2 K2 M2 O2 Q2 S2 U2 W2 Y2 AA2 AC2 AE2 AG2 AI2 AK2 AM2 AO2 AQ2 AS2 AU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 G3 I3 K3 M3 O3 Q3 S3 U3 W3 Y3 AA3 AC3 AE3 AG3 AI3 AK3 AM3 AO3 AQ3 AS3 AU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 E4 I4 K4 M4 O4 Q4 S4 U4 W4 Y4 AA4 AC4 AE4 AG4 AI4 AK4 AM4 AO4 AQ4 AS4 AU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 E5 I5 K5 M5 O5 Q5 S5 U5 W5 Y5 AA5 AC5 AE5 AG5 AI5 AK5 AM5 AO5 AQ5 AS5 AU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 E6 I6 K6 M6 O6 Q6 W6 Y6 AE6 AG6 AM6 AQ6 AS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workbookViewId="0">
      <pane ySplit="1" topLeftCell="A2" activePane="bottomLeft" state="frozen"/>
      <selection pane="bottomLeft"/>
    </sheetView>
  </sheetViews>
  <sheetFormatPr baseColWidth="10" defaultRowHeight="15"/>
  <cols>
    <col min="1" max="1" width="5.28515625" bestFit="1" customWidth="1"/>
    <col min="2" max="2" width="34.28515625" bestFit="1" customWidth="1"/>
    <col min="3" max="3" width="12.42578125" bestFit="1" customWidth="1"/>
    <col min="4" max="4" width="6.7109375" bestFit="1" customWidth="1"/>
    <col min="5" max="5" width="6.85546875" bestFit="1" customWidth="1"/>
    <col min="6" max="21" width="6.140625" bestFit="1" customWidth="1"/>
    <col min="22" max="22" width="6.140625" customWidth="1"/>
    <col min="23" max="23" width="6.140625" bestFit="1" customWidth="1"/>
    <col min="24" max="24" width="6.140625" customWidth="1"/>
    <col min="25" max="25" width="6.140625" bestFit="1" customWidth="1"/>
    <col min="26" max="26" width="6.140625" customWidth="1"/>
    <col min="27" max="27" width="6.140625" bestFit="1" customWidth="1"/>
    <col min="28" max="28" width="6.140625" customWidth="1"/>
    <col min="29" max="29" width="6.140625" bestFit="1" customWidth="1"/>
    <col min="30" max="30" width="6.140625" customWidth="1"/>
    <col min="31" max="33" width="6.140625" bestFit="1" customWidth="1"/>
    <col min="34" max="34" width="6.140625" customWidth="1"/>
    <col min="35" max="35" width="6.140625" bestFit="1" customWidth="1"/>
    <col min="36" max="36" width="6.140625" customWidth="1"/>
    <col min="37" max="37" width="6.140625" bestFit="1" customWidth="1"/>
    <col min="38" max="38" width="6.140625" customWidth="1"/>
    <col min="39" max="39" width="6.140625" bestFit="1" customWidth="1"/>
    <col min="40" max="40" width="6.140625" customWidth="1"/>
    <col min="41" max="41" width="6.140625" bestFit="1" customWidth="1"/>
    <col min="42" max="42" width="6.140625" customWidth="1"/>
    <col min="43" max="45" width="6.140625" bestFit="1" customWidth="1"/>
    <col min="46" max="46" width="7.42578125" bestFit="1" customWidth="1"/>
    <col min="47" max="47" width="6.140625" bestFit="1" customWidth="1"/>
    <col min="48" max="48" width="6.140625" customWidth="1"/>
    <col min="49" max="49" width="6.140625" bestFit="1" customWidth="1"/>
    <col min="50" max="50" width="6.140625" customWidth="1"/>
    <col min="51" max="51" width="6.140625" bestFit="1" customWidth="1"/>
    <col min="52" max="52" width="6.140625" customWidth="1"/>
    <col min="53" max="53" width="6.140625" bestFit="1" customWidth="1"/>
    <col min="54" max="54" width="6.140625" customWidth="1"/>
    <col min="55" max="55" width="6.140625" bestFit="1" customWidth="1"/>
    <col min="56" max="56" width="6.140625" customWidth="1"/>
    <col min="57" max="57" width="6.140625" bestFit="1" customWidth="1"/>
    <col min="58" max="58" width="6.140625" customWidth="1"/>
    <col min="59" max="61" width="6.140625" bestFit="1" customWidth="1"/>
    <col min="62" max="62" width="6.140625" customWidth="1"/>
    <col min="63" max="63" width="6.140625" bestFit="1" customWidth="1"/>
    <col min="64" max="64" width="6.140625" customWidth="1"/>
    <col min="65" max="65" width="6.140625" bestFit="1" customWidth="1"/>
    <col min="66" max="66" width="6.140625" customWidth="1"/>
    <col min="67" max="73" width="6.140625" bestFit="1" customWidth="1"/>
    <col min="74" max="74" width="7.42578125" bestFit="1" customWidth="1"/>
    <col min="75" max="75" width="6.140625" bestFit="1" customWidth="1"/>
    <col min="76" max="76" width="6.140625" customWidth="1"/>
    <col min="77" max="77" width="6.140625" bestFit="1" customWidth="1"/>
    <col min="78" max="78" width="6.140625" customWidth="1"/>
    <col min="79" max="79" width="6.140625" bestFit="1" customWidth="1"/>
    <col min="80" max="80" width="6.140625" customWidth="1"/>
    <col min="81" max="81" width="7.42578125" bestFit="1" customWidth="1"/>
    <col min="82" max="82" width="7.42578125" customWidth="1"/>
    <col min="83" max="83" width="6.140625" bestFit="1" customWidth="1"/>
    <col min="84" max="84" width="6.140625" customWidth="1"/>
    <col min="85" max="85" width="6.140625" bestFit="1" customWidth="1"/>
    <col min="86" max="86" width="6.140625" customWidth="1"/>
    <col min="87" max="87" width="6.140625" bestFit="1" customWidth="1"/>
    <col min="88" max="88" width="6.140625" customWidth="1"/>
    <col min="89" max="91" width="6.140625" bestFit="1" customWidth="1"/>
    <col min="92" max="92" width="6.140625" customWidth="1"/>
    <col min="93" max="93" width="6.140625" bestFit="1" customWidth="1"/>
    <col min="94" max="94" width="6.140625" customWidth="1"/>
    <col min="95" max="97" width="6.140625" bestFit="1" customWidth="1"/>
    <col min="98" max="98" width="6.140625" customWidth="1"/>
    <col min="99" max="99" width="6.140625" bestFit="1" customWidth="1"/>
    <col min="100" max="100" width="6.140625" customWidth="1"/>
    <col min="101" max="102" width="6.140625" bestFit="1" customWidth="1"/>
    <col min="103" max="103" width="7.42578125" bestFit="1" customWidth="1"/>
    <col min="104" max="104" width="7.42578125" customWidth="1"/>
    <col min="105" max="107" width="6.140625" bestFit="1" customWidth="1"/>
    <col min="108" max="108" width="6.140625" customWidth="1"/>
    <col min="109" max="109" width="7.42578125" bestFit="1" customWidth="1"/>
    <col min="110" max="110" width="7.42578125" customWidth="1"/>
    <col min="111" max="111" width="6.140625" bestFit="1" customWidth="1"/>
    <col min="112" max="112" width="6.140625" customWidth="1"/>
    <col min="113" max="113" width="6.140625" bestFit="1" customWidth="1"/>
    <col min="114" max="114" width="6.140625" customWidth="1"/>
    <col min="115" max="115" width="6.140625" bestFit="1" customWidth="1"/>
    <col min="116" max="116" width="6.140625" customWidth="1"/>
    <col min="117" max="117" width="6.140625" bestFit="1" customWidth="1"/>
    <col min="118" max="118" width="6.140625" customWidth="1"/>
    <col min="119" max="119" width="6.140625" bestFit="1" customWidth="1"/>
    <col min="120" max="120" width="7.42578125" bestFit="1" customWidth="1"/>
    <col min="121" max="125" width="6.140625" bestFit="1" customWidth="1"/>
    <col min="126" max="126" width="7" bestFit="1" customWidth="1"/>
    <col min="127" max="128" width="6.140625" bestFit="1" customWidth="1"/>
    <col min="129" max="129" width="6.5703125" bestFit="1" customWidth="1"/>
    <col min="130" max="130" width="6.85546875" bestFit="1" customWidth="1"/>
    <col min="131" max="133" width="6.140625" bestFit="1" customWidth="1"/>
    <col min="134" max="134" width="7.140625" bestFit="1" customWidth="1"/>
    <col min="135" max="135" width="7.5703125" bestFit="1" customWidth="1"/>
    <col min="136" max="141" width="6.140625" bestFit="1" customWidth="1"/>
    <col min="142" max="142" width="7.42578125" bestFit="1" customWidth="1"/>
    <col min="143" max="147" width="6.140625" bestFit="1" customWidth="1"/>
    <col min="148" max="148" width="6.28515625" bestFit="1" customWidth="1"/>
    <col min="149" max="155" width="6.140625" bestFit="1" customWidth="1"/>
    <col min="156" max="156" width="7.42578125" bestFit="1" customWidth="1"/>
    <col min="157" max="159" width="6.140625" bestFit="1" customWidth="1"/>
    <col min="160" max="160" width="7.42578125" bestFit="1" customWidth="1"/>
    <col min="161" max="161" width="6.7109375" bestFit="1" customWidth="1"/>
    <col min="162" max="162" width="6.5703125" bestFit="1" customWidth="1"/>
    <col min="163" max="170" width="6.140625" bestFit="1" customWidth="1"/>
    <col min="171" max="171" width="7.42578125" bestFit="1" customWidth="1"/>
    <col min="172" max="173" width="6.140625" bestFit="1" customWidth="1"/>
    <col min="174" max="174" width="7.42578125" bestFit="1" customWidth="1"/>
    <col min="175" max="176" width="6.140625" bestFit="1" customWidth="1"/>
    <col min="177" max="177" width="6.28515625" bestFit="1" customWidth="1"/>
    <col min="178" max="178" width="6.42578125" bestFit="1" customWidth="1"/>
    <col min="179" max="179" width="7.42578125" bestFit="1" customWidth="1"/>
    <col min="180" max="180" width="6.140625" bestFit="1" customWidth="1"/>
  </cols>
  <sheetData>
    <row r="1" spans="1:3">
      <c r="A1" s="1504" t="s">
        <v>61</v>
      </c>
      <c r="B1" s="1505" t="s">
        <v>244</v>
      </c>
      <c r="C1" s="1505" t="s">
        <v>211</v>
      </c>
    </row>
    <row r="2" spans="1:3">
      <c r="A2">
        <v>1</v>
      </c>
      <c r="B2" t="s">
        <v>263</v>
      </c>
      <c r="C2" s="467">
        <v>0.85178571428571426</v>
      </c>
    </row>
    <row r="3" spans="1:3">
      <c r="A3">
        <v>2</v>
      </c>
      <c r="B3" t="s">
        <v>261</v>
      </c>
      <c r="C3" s="467">
        <v>0.69781523341893981</v>
      </c>
    </row>
    <row r="4" spans="1:3">
      <c r="A4">
        <v>3</v>
      </c>
      <c r="B4" t="s">
        <v>233</v>
      </c>
      <c r="C4" s="467">
        <v>0.66741851927276019</v>
      </c>
    </row>
    <row r="5" spans="1:3">
      <c r="A5">
        <v>4</v>
      </c>
      <c r="B5" t="s">
        <v>257</v>
      </c>
      <c r="C5" s="467">
        <v>0.65110772995346866</v>
      </c>
    </row>
    <row r="6" spans="1:3">
      <c r="A6">
        <v>5</v>
      </c>
      <c r="B6" t="s">
        <v>249</v>
      </c>
      <c r="C6" s="467">
        <v>0.62107806118408404</v>
      </c>
    </row>
    <row r="7" spans="1:3">
      <c r="A7">
        <v>6</v>
      </c>
      <c r="B7" t="s">
        <v>259</v>
      </c>
      <c r="C7" s="467">
        <v>0.60805058301166637</v>
      </c>
    </row>
    <row r="8" spans="1:3">
      <c r="A8">
        <v>7</v>
      </c>
      <c r="B8" t="s">
        <v>251</v>
      </c>
      <c r="C8" s="467">
        <v>0.59400914038048747</v>
      </c>
    </row>
    <row r="9" spans="1:3">
      <c r="A9">
        <v>8</v>
      </c>
      <c r="B9" t="s">
        <v>232</v>
      </c>
      <c r="C9" s="467">
        <v>0.5802830854669403</v>
      </c>
    </row>
    <row r="10" spans="1:3">
      <c r="A10">
        <v>9</v>
      </c>
      <c r="B10" t="s">
        <v>250</v>
      </c>
      <c r="C10" s="467">
        <v>0.5744581483736183</v>
      </c>
    </row>
    <row r="11" spans="1:3">
      <c r="A11">
        <v>10</v>
      </c>
      <c r="B11" t="s">
        <v>291</v>
      </c>
      <c r="C11" s="467">
        <v>0.57241139826314458</v>
      </c>
    </row>
    <row r="12" spans="1:3">
      <c r="A12">
        <v>11</v>
      </c>
      <c r="B12" t="s">
        <v>245</v>
      </c>
      <c r="C12" s="467">
        <v>0.55421844447465118</v>
      </c>
    </row>
    <row r="13" spans="1:3">
      <c r="A13">
        <v>12</v>
      </c>
      <c r="B13" t="s">
        <v>269</v>
      </c>
      <c r="C13" s="467">
        <v>0.54788916731444071</v>
      </c>
    </row>
    <row r="14" spans="1:3">
      <c r="A14">
        <v>13</v>
      </c>
      <c r="B14" t="s">
        <v>300</v>
      </c>
      <c r="C14" s="467">
        <v>0.50938678422188544</v>
      </c>
    </row>
    <row r="15" spans="1:3">
      <c r="A15">
        <v>14</v>
      </c>
      <c r="B15" t="s">
        <v>247</v>
      </c>
      <c r="C15" s="467">
        <v>0.47151501672786572</v>
      </c>
    </row>
    <row r="16" spans="1:3">
      <c r="A16">
        <v>15</v>
      </c>
      <c r="B16" t="s">
        <v>275</v>
      </c>
      <c r="C16" s="467">
        <v>0.46663717797247983</v>
      </c>
    </row>
    <row r="17" spans="1:3">
      <c r="A17">
        <v>16</v>
      </c>
      <c r="B17" t="s">
        <v>277</v>
      </c>
      <c r="C17" s="467">
        <v>0.46596409055425447</v>
      </c>
    </row>
    <row r="18" spans="1:3">
      <c r="A18">
        <v>17</v>
      </c>
      <c r="B18" t="s">
        <v>292</v>
      </c>
      <c r="C18" s="467">
        <v>0.45965789726700262</v>
      </c>
    </row>
    <row r="19" spans="1:3">
      <c r="A19">
        <v>18</v>
      </c>
      <c r="B19" t="s">
        <v>271</v>
      </c>
      <c r="C19" s="467">
        <v>0.45198570005943262</v>
      </c>
    </row>
    <row r="20" spans="1:3">
      <c r="A20">
        <v>19</v>
      </c>
      <c r="B20" t="s">
        <v>296</v>
      </c>
      <c r="C20" s="467">
        <v>0.45043925777591731</v>
      </c>
    </row>
    <row r="21" spans="1:3">
      <c r="A21">
        <v>20</v>
      </c>
      <c r="B21" t="s">
        <v>295</v>
      </c>
      <c r="C21" s="467">
        <v>0.44404602885477201</v>
      </c>
    </row>
    <row r="22" spans="1:3">
      <c r="A22">
        <v>21</v>
      </c>
      <c r="B22" t="s">
        <v>258</v>
      </c>
      <c r="C22" s="467">
        <v>0.44355776247801393</v>
      </c>
    </row>
    <row r="23" spans="1:3">
      <c r="A23">
        <v>22</v>
      </c>
      <c r="B23" t="s">
        <v>283</v>
      </c>
      <c r="C23" s="467">
        <v>0.44140372670807454</v>
      </c>
    </row>
    <row r="24" spans="1:3">
      <c r="A24">
        <v>23</v>
      </c>
      <c r="B24" t="s">
        <v>254</v>
      </c>
      <c r="C24" s="467">
        <v>0.43337073900598494</v>
      </c>
    </row>
    <row r="25" spans="1:3">
      <c r="A25">
        <v>24</v>
      </c>
      <c r="B25" t="s">
        <v>274</v>
      </c>
      <c r="C25" s="467">
        <v>0.42426331330821709</v>
      </c>
    </row>
    <row r="26" spans="1:3">
      <c r="A26">
        <v>25</v>
      </c>
      <c r="B26" t="s">
        <v>268</v>
      </c>
      <c r="C26" s="467">
        <v>0.41788943759970126</v>
      </c>
    </row>
    <row r="27" spans="1:3">
      <c r="A27">
        <v>26</v>
      </c>
      <c r="B27" t="s">
        <v>246</v>
      </c>
      <c r="C27" s="467">
        <v>0.40602168719061094</v>
      </c>
    </row>
    <row r="28" spans="1:3">
      <c r="A28">
        <v>27</v>
      </c>
      <c r="B28" t="s">
        <v>301</v>
      </c>
      <c r="C28" s="467">
        <v>0.40496096799375486</v>
      </c>
    </row>
    <row r="29" spans="1:3">
      <c r="A29">
        <v>28</v>
      </c>
      <c r="B29" t="s">
        <v>270</v>
      </c>
      <c r="C29" s="467">
        <v>0.39891815256764518</v>
      </c>
    </row>
    <row r="30" spans="1:3">
      <c r="A30">
        <v>29</v>
      </c>
      <c r="B30" t="s">
        <v>253</v>
      </c>
      <c r="C30" s="467">
        <v>0.39080536039552433</v>
      </c>
    </row>
    <row r="31" spans="1:3">
      <c r="A31">
        <v>30</v>
      </c>
      <c r="B31" t="s">
        <v>281</v>
      </c>
      <c r="C31" s="467">
        <v>0.38461651053864171</v>
      </c>
    </row>
    <row r="32" spans="1:3">
      <c r="A32">
        <v>31</v>
      </c>
      <c r="B32" t="s">
        <v>294</v>
      </c>
      <c r="C32" s="467">
        <v>0.38320160031225603</v>
      </c>
    </row>
    <row r="33" spans="1:3">
      <c r="A33">
        <v>32</v>
      </c>
      <c r="B33" t="s">
        <v>284</v>
      </c>
      <c r="C33" s="467">
        <v>0.37953607915012044</v>
      </c>
    </row>
    <row r="34" spans="1:3">
      <c r="A34">
        <v>33</v>
      </c>
      <c r="B34" t="s">
        <v>262</v>
      </c>
      <c r="C34" s="467">
        <v>0.37580015612802492</v>
      </c>
    </row>
    <row r="35" spans="1:3">
      <c r="A35">
        <v>34</v>
      </c>
      <c r="B35" t="s">
        <v>288</v>
      </c>
      <c r="C35" s="467">
        <v>0.36542444525750978</v>
      </c>
    </row>
    <row r="36" spans="1:3">
      <c r="A36">
        <v>35</v>
      </c>
      <c r="B36" t="s">
        <v>273</v>
      </c>
      <c r="C36" s="467">
        <v>0.35945992422613948</v>
      </c>
    </row>
    <row r="37" spans="1:3">
      <c r="A37">
        <v>36</v>
      </c>
      <c r="B37" t="s">
        <v>255</v>
      </c>
      <c r="C37" s="467">
        <v>0.35900213174803336</v>
      </c>
    </row>
    <row r="38" spans="1:3">
      <c r="A38">
        <v>37</v>
      </c>
      <c r="B38" t="s">
        <v>278</v>
      </c>
      <c r="C38" s="467">
        <v>0.35303503418257515</v>
      </c>
    </row>
    <row r="39" spans="1:3">
      <c r="A39">
        <v>38</v>
      </c>
      <c r="B39" t="s">
        <v>282</v>
      </c>
      <c r="C39" s="467">
        <v>0.34756151783592981</v>
      </c>
    </row>
    <row r="40" spans="1:3">
      <c r="A40">
        <v>39</v>
      </c>
      <c r="B40" t="s">
        <v>266</v>
      </c>
      <c r="C40" s="467">
        <v>0.33710837366540297</v>
      </c>
    </row>
    <row r="41" spans="1:3">
      <c r="A41">
        <v>40</v>
      </c>
      <c r="B41" t="s">
        <v>285</v>
      </c>
      <c r="C41" s="467">
        <v>0.33637628908336414</v>
      </c>
    </row>
    <row r="42" spans="1:3">
      <c r="A42">
        <v>41</v>
      </c>
      <c r="B42" t="s">
        <v>286</v>
      </c>
      <c r="C42" s="467">
        <v>0.33578659947585593</v>
      </c>
    </row>
    <row r="43" spans="1:3">
      <c r="A43">
        <v>42</v>
      </c>
      <c r="B43" t="s">
        <v>299</v>
      </c>
      <c r="C43" s="467">
        <v>0.33292349726775949</v>
      </c>
    </row>
    <row r="44" spans="1:3">
      <c r="A44">
        <v>43</v>
      </c>
      <c r="B44" t="s">
        <v>265</v>
      </c>
      <c r="C44" s="467">
        <v>0.32351385636221697</v>
      </c>
    </row>
    <row r="45" spans="1:3">
      <c r="A45">
        <v>44</v>
      </c>
      <c r="B45" t="s">
        <v>279</v>
      </c>
      <c r="C45" s="467">
        <v>0.31388413490366446</v>
      </c>
    </row>
    <row r="46" spans="1:3">
      <c r="A46">
        <v>45</v>
      </c>
      <c r="B46" t="s">
        <v>256</v>
      </c>
      <c r="C46" s="467">
        <v>0.2947720870244035</v>
      </c>
    </row>
    <row r="47" spans="1:3">
      <c r="A47">
        <v>46</v>
      </c>
      <c r="B47" t="s">
        <v>252</v>
      </c>
      <c r="C47" s="467">
        <v>0.28762440290211788</v>
      </c>
    </row>
    <row r="48" spans="1:3">
      <c r="A48">
        <v>47</v>
      </c>
      <c r="B48" t="s">
        <v>260</v>
      </c>
      <c r="C48" s="467">
        <v>0.27714676034348168</v>
      </c>
    </row>
    <row r="49" spans="1:3">
      <c r="A49">
        <v>48</v>
      </c>
      <c r="B49" t="s">
        <v>248</v>
      </c>
      <c r="C49" s="467">
        <v>0.27019435482550236</v>
      </c>
    </row>
    <row r="50" spans="1:3">
      <c r="A50">
        <v>49</v>
      </c>
      <c r="B50" t="s">
        <v>290</v>
      </c>
      <c r="C50" s="467">
        <v>0.26276197264365475</v>
      </c>
    </row>
    <row r="51" spans="1:3">
      <c r="A51">
        <v>50</v>
      </c>
      <c r="B51" t="s">
        <v>276</v>
      </c>
      <c r="C51" s="467">
        <v>0.2275639268102283</v>
      </c>
    </row>
    <row r="52" spans="1:3">
      <c r="A52">
        <v>51</v>
      </c>
      <c r="B52" t="s">
        <v>293</v>
      </c>
      <c r="C52" s="467">
        <v>0.21786494925839184</v>
      </c>
    </row>
    <row r="53" spans="1:3">
      <c r="A53">
        <v>52</v>
      </c>
      <c r="B53" t="s">
        <v>280</v>
      </c>
      <c r="C53" s="467">
        <v>0.20680467026439944</v>
      </c>
    </row>
    <row r="54" spans="1:3">
      <c r="A54">
        <v>53</v>
      </c>
      <c r="B54" t="s">
        <v>264</v>
      </c>
      <c r="C54" s="467">
        <v>0.20194704657819412</v>
      </c>
    </row>
    <row r="55" spans="1:3">
      <c r="A55">
        <v>54</v>
      </c>
      <c r="B55" t="s">
        <v>272</v>
      </c>
      <c r="C55" s="467">
        <v>0.19568137737776015</v>
      </c>
    </row>
    <row r="56" spans="1:3">
      <c r="A56">
        <v>55</v>
      </c>
      <c r="B56" t="s">
        <v>289</v>
      </c>
      <c r="C56" s="467">
        <v>0.19329386861932665</v>
      </c>
    </row>
    <row r="57" spans="1:3">
      <c r="A57">
        <v>56</v>
      </c>
      <c r="B57" t="s">
        <v>267</v>
      </c>
      <c r="C57" s="467">
        <v>0.17422053756494116</v>
      </c>
    </row>
    <row r="58" spans="1:3">
      <c r="A58">
        <v>57</v>
      </c>
      <c r="B58" t="s">
        <v>297</v>
      </c>
      <c r="C58" s="467">
        <v>0.16219449948958145</v>
      </c>
    </row>
    <row r="59" spans="1:3">
      <c r="A59">
        <v>58</v>
      </c>
      <c r="B59" t="s">
        <v>287</v>
      </c>
      <c r="C59" s="467">
        <v>0.14038674212854541</v>
      </c>
    </row>
    <row r="60" spans="1:3">
      <c r="A60">
        <v>59</v>
      </c>
      <c r="B60" t="s">
        <v>298</v>
      </c>
      <c r="C60" s="467">
        <v>0.1274929742388759</v>
      </c>
    </row>
  </sheetData>
  <sortState ref="B2:C60">
    <sortCondition descending="1" ref="C2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54"/>
  <sheetViews>
    <sheetView zoomScale="70" zoomScaleNormal="70" workbookViewId="0">
      <pane xSplit="1" ySplit="1" topLeftCell="B2" activePane="bottomRight" state="frozen"/>
      <selection pane="topRight"/>
      <selection pane="bottomLeft"/>
      <selection pane="bottomRight"/>
    </sheetView>
  </sheetViews>
  <sheetFormatPr baseColWidth="10" defaultRowHeight="14.25"/>
  <cols>
    <col min="1" max="1" width="5.42578125" style="32" bestFit="1" customWidth="1"/>
    <col min="2" max="2" width="16.7109375" style="32" bestFit="1" customWidth="1"/>
    <col min="3" max="5" width="5.7109375" style="32" customWidth="1"/>
    <col min="6" max="6" width="7" style="32" bestFit="1" customWidth="1"/>
    <col min="7" max="7" width="8.140625" style="32" bestFit="1" customWidth="1"/>
    <col min="8" max="8" width="5.28515625" style="32" bestFit="1" customWidth="1"/>
    <col min="9" max="9" width="8.140625" style="32" bestFit="1" customWidth="1"/>
    <col min="10" max="11" width="5.7109375" style="32" customWidth="1"/>
    <col min="12" max="12" width="7" style="32" bestFit="1" customWidth="1"/>
    <col min="13" max="13" width="7.140625" style="32" customWidth="1"/>
    <col min="14" max="14" width="4.7109375" style="32" customWidth="1"/>
    <col min="15" max="15" width="16.7109375" style="32" bestFit="1" customWidth="1"/>
    <col min="16" max="16" width="5.7109375" style="32" customWidth="1"/>
    <col min="17" max="17" width="7" style="32" bestFit="1" customWidth="1"/>
    <col min="18" max="18" width="6.28515625" style="32" bestFit="1" customWidth="1"/>
    <col min="19" max="19" width="6.140625" style="32" customWidth="1"/>
    <col min="20" max="20" width="8.140625" style="32" bestFit="1" customWidth="1"/>
    <col min="21" max="21" width="5.28515625" style="32" bestFit="1" customWidth="1"/>
    <col min="22" max="22" width="8.140625" style="32" bestFit="1" customWidth="1"/>
    <col min="23" max="26" width="5.7109375" style="32" customWidth="1"/>
    <col min="27" max="27" width="4.7109375" style="32" customWidth="1"/>
    <col min="28" max="28" width="16.7109375" style="32" bestFit="1" customWidth="1"/>
    <col min="29" max="31" width="5.7109375" style="32" customWidth="1"/>
    <col min="32" max="32" width="7" style="32" bestFit="1" customWidth="1"/>
    <col min="33" max="33" width="8.140625" style="32" bestFit="1" customWidth="1"/>
    <col min="34" max="34" width="5.28515625" style="32" bestFit="1" customWidth="1"/>
    <col min="35" max="35" width="8.140625" style="32" bestFit="1" customWidth="1"/>
    <col min="36" max="36" width="5.7109375" style="32" customWidth="1"/>
    <col min="37" max="37" width="6.42578125" style="32" bestFit="1" customWidth="1"/>
    <col min="38" max="38" width="5.7109375" style="32" customWidth="1"/>
    <col min="39" max="39" width="6.28515625" style="32" customWidth="1"/>
    <col min="40" max="40" width="4.7109375" style="32" customWidth="1"/>
    <col min="41" max="41" width="16.7109375" style="32" bestFit="1" customWidth="1"/>
    <col min="42" max="45" width="5.7109375" style="32" customWidth="1"/>
    <col min="46" max="46" width="8.140625" style="32" bestFit="1" customWidth="1"/>
    <col min="47" max="47" width="4.7109375" style="32" customWidth="1"/>
    <col min="48" max="48" width="8.140625" style="32" bestFit="1" customWidth="1"/>
    <col min="49" max="50" width="5.7109375" style="32" customWidth="1"/>
    <col min="51" max="51" width="7" style="32" bestFit="1" customWidth="1"/>
    <col min="52" max="52" width="5.7109375" style="32" customWidth="1"/>
    <col min="53" max="53" width="4.7109375" style="32" customWidth="1"/>
    <col min="54" max="54" width="16.7109375" style="517" bestFit="1" customWidth="1"/>
    <col min="55" max="56" width="5.7109375" style="517" customWidth="1"/>
    <col min="57" max="58" width="7" style="517" bestFit="1" customWidth="1"/>
    <col min="59" max="59" width="8.140625" style="517" bestFit="1" customWidth="1"/>
    <col min="60" max="60" width="4.7109375" style="517" customWidth="1"/>
    <col min="61" max="61" width="8.140625" style="517" bestFit="1" customWidth="1"/>
    <col min="62" max="62" width="5.7109375" style="517" customWidth="1"/>
    <col min="63" max="63" width="7" style="517" bestFit="1" customWidth="1"/>
    <col min="64" max="64" width="6.28515625" style="517" customWidth="1"/>
    <col min="65" max="65" width="7" style="517" bestFit="1" customWidth="1"/>
    <col min="66" max="66" width="4.7109375" style="517" customWidth="1"/>
    <col min="67" max="67" width="16.7109375" style="517" bestFit="1" customWidth="1"/>
    <col min="68" max="71" width="5.7109375" style="517" customWidth="1"/>
    <col min="72" max="72" width="8.140625" style="517" bestFit="1" customWidth="1"/>
    <col min="73" max="73" width="4.7109375" style="517" customWidth="1"/>
    <col min="74" max="74" width="8.140625" style="517" bestFit="1" customWidth="1"/>
    <col min="75" max="76" width="5.7109375" style="517" customWidth="1"/>
    <col min="77" max="77" width="6.28515625" style="517" customWidth="1"/>
    <col min="78" max="78" width="7" style="517" bestFit="1" customWidth="1"/>
    <col min="79" max="79" width="4.7109375" style="517" customWidth="1"/>
    <col min="80" max="16384" width="11.42578125" style="32"/>
  </cols>
  <sheetData>
    <row r="1" spans="1:79" ht="15">
      <c r="A1" s="247"/>
      <c r="B1" s="1538" t="s">
        <v>131</v>
      </c>
      <c r="C1" s="1538"/>
      <c r="D1" s="1538"/>
      <c r="E1" s="1538"/>
      <c r="F1" s="1538"/>
      <c r="G1" s="1538"/>
      <c r="H1" s="1538"/>
      <c r="I1" s="1538"/>
      <c r="J1" s="1538"/>
      <c r="K1" s="1538"/>
      <c r="L1" s="1538"/>
      <c r="M1" s="1538"/>
      <c r="N1" s="248"/>
      <c r="O1" s="1538" t="s">
        <v>92</v>
      </c>
      <c r="P1" s="1538"/>
      <c r="Q1" s="1538"/>
      <c r="R1" s="1538"/>
      <c r="S1" s="1538"/>
      <c r="T1" s="1538"/>
      <c r="U1" s="1538"/>
      <c r="V1" s="1538"/>
      <c r="W1" s="1538"/>
      <c r="X1" s="1538"/>
      <c r="Y1" s="1538"/>
      <c r="Z1" s="1538"/>
      <c r="AA1" s="248"/>
      <c r="AB1" s="1538" t="s">
        <v>138</v>
      </c>
      <c r="AC1" s="1538"/>
      <c r="AD1" s="1538"/>
      <c r="AE1" s="1538"/>
      <c r="AF1" s="1538"/>
      <c r="AG1" s="1538"/>
      <c r="AH1" s="1538"/>
      <c r="AI1" s="1538"/>
      <c r="AJ1" s="1538"/>
      <c r="AK1" s="1538"/>
      <c r="AL1" s="1538"/>
      <c r="AM1" s="1538"/>
      <c r="AN1" s="248"/>
      <c r="AO1" s="1538" t="s">
        <v>144</v>
      </c>
      <c r="AP1" s="1538"/>
      <c r="AQ1" s="1538"/>
      <c r="AR1" s="1538"/>
      <c r="AS1" s="1538"/>
      <c r="AT1" s="1538"/>
      <c r="AU1" s="1538"/>
      <c r="AV1" s="1538"/>
      <c r="AW1" s="1538"/>
      <c r="AX1" s="1538"/>
      <c r="AY1" s="1538"/>
      <c r="AZ1" s="1538"/>
      <c r="BA1" s="249"/>
      <c r="BB1" s="1538" t="s">
        <v>145</v>
      </c>
      <c r="BC1" s="1538"/>
      <c r="BD1" s="1538"/>
      <c r="BE1" s="1538"/>
      <c r="BF1" s="1538"/>
      <c r="BG1" s="1538"/>
      <c r="BH1" s="1538"/>
      <c r="BI1" s="1538"/>
      <c r="BJ1" s="1538"/>
      <c r="BK1" s="1538"/>
      <c r="BL1" s="1538"/>
      <c r="BM1" s="1538"/>
      <c r="BN1" s="605"/>
      <c r="BO1" s="1538" t="s">
        <v>146</v>
      </c>
      <c r="BP1" s="1538"/>
      <c r="BQ1" s="1538"/>
      <c r="BR1" s="1538"/>
      <c r="BS1" s="1538"/>
      <c r="BT1" s="1538"/>
      <c r="BU1" s="1538"/>
      <c r="BV1" s="1538"/>
      <c r="BW1" s="1538"/>
      <c r="BX1" s="1538"/>
      <c r="BY1" s="1538"/>
      <c r="BZ1" s="1538"/>
      <c r="CA1" s="605"/>
    </row>
    <row r="2" spans="1:79" ht="15">
      <c r="A2" s="1537" t="s">
        <v>131</v>
      </c>
      <c r="B2" s="33"/>
      <c r="C2" s="34"/>
      <c r="D2" s="34"/>
      <c r="E2" s="34"/>
      <c r="F2" s="34"/>
      <c r="G2" s="250"/>
      <c r="H2" s="248"/>
      <c r="I2" s="248"/>
      <c r="J2" s="248"/>
      <c r="K2" s="248"/>
      <c r="L2" s="248"/>
      <c r="M2" s="248"/>
      <c r="N2" s="248"/>
      <c r="O2" s="251"/>
      <c r="P2" s="1536" t="s">
        <v>131</v>
      </c>
      <c r="Q2" s="1536"/>
      <c r="R2" s="1536"/>
      <c r="S2" s="1536"/>
      <c r="T2" s="251"/>
      <c r="U2" s="251"/>
      <c r="V2" s="251"/>
      <c r="W2" s="1535" t="s">
        <v>92</v>
      </c>
      <c r="X2" s="1535"/>
      <c r="Y2" s="1535"/>
      <c r="Z2" s="1535"/>
      <c r="AA2" s="248"/>
      <c r="AB2" s="251"/>
      <c r="AC2" s="1536" t="s">
        <v>131</v>
      </c>
      <c r="AD2" s="1536"/>
      <c r="AE2" s="1536"/>
      <c r="AF2" s="1536"/>
      <c r="AG2" s="251"/>
      <c r="AH2" s="251"/>
      <c r="AI2" s="251"/>
      <c r="AJ2" s="1535" t="s">
        <v>138</v>
      </c>
      <c r="AK2" s="1535"/>
      <c r="AL2" s="1535"/>
      <c r="AM2" s="1535"/>
      <c r="AN2" s="248"/>
      <c r="AO2" s="251"/>
      <c r="AP2" s="1536" t="s">
        <v>131</v>
      </c>
      <c r="AQ2" s="1536"/>
      <c r="AR2" s="1536"/>
      <c r="AS2" s="1536"/>
      <c r="AT2" s="251"/>
      <c r="AU2" s="251"/>
      <c r="AV2" s="251"/>
      <c r="AW2" s="1535" t="s">
        <v>144</v>
      </c>
      <c r="AX2" s="1535"/>
      <c r="AY2" s="1535"/>
      <c r="AZ2" s="1535"/>
      <c r="BA2" s="249"/>
      <c r="BB2" s="607"/>
      <c r="BC2" s="1535" t="s">
        <v>131</v>
      </c>
      <c r="BD2" s="1535"/>
      <c r="BE2" s="1535"/>
      <c r="BF2" s="1535"/>
      <c r="BG2" s="607"/>
      <c r="BH2" s="607"/>
      <c r="BI2" s="607"/>
      <c r="BJ2" s="1539" t="s">
        <v>145</v>
      </c>
      <c r="BK2" s="1539"/>
      <c r="BL2" s="1539"/>
      <c r="BM2" s="1539"/>
      <c r="BN2" s="605"/>
      <c r="BO2" s="607"/>
      <c r="BP2" s="1535" t="s">
        <v>131</v>
      </c>
      <c r="BQ2" s="1535"/>
      <c r="BR2" s="1535"/>
      <c r="BS2" s="1535"/>
      <c r="BT2" s="607"/>
      <c r="BU2" s="607"/>
      <c r="BV2" s="607"/>
      <c r="BW2" s="1536" t="s">
        <v>146</v>
      </c>
      <c r="BX2" s="1536"/>
      <c r="BY2" s="1536"/>
      <c r="BZ2" s="1536"/>
      <c r="CA2" s="605"/>
    </row>
    <row r="3" spans="1:79" ht="15">
      <c r="A3" s="1537"/>
      <c r="B3" s="33"/>
      <c r="C3" s="36"/>
      <c r="D3" s="37"/>
      <c r="E3" s="37"/>
      <c r="F3" s="37"/>
      <c r="G3" s="38"/>
      <c r="H3" s="248"/>
      <c r="I3" s="38"/>
      <c r="J3" s="39"/>
      <c r="K3" s="39"/>
      <c r="L3" s="39"/>
      <c r="M3" s="39"/>
      <c r="N3" s="248"/>
      <c r="O3" s="40"/>
      <c r="P3" s="86">
        <v>1</v>
      </c>
      <c r="Q3" s="87">
        <v>2</v>
      </c>
      <c r="R3" s="88">
        <v>3</v>
      </c>
      <c r="S3" s="246">
        <v>4</v>
      </c>
      <c r="T3" s="41">
        <f>IF(COUNTIF(T5:T19,"&gt;37")=0,0,COUNTIF(T5:T19,"&gt;37")-1)</f>
        <v>1</v>
      </c>
      <c r="U3" s="251"/>
      <c r="V3" s="41">
        <f>IF(COUNTIF(V5:V19,"&gt;37")=0,0,COUNTIF(V5:V19,"&gt;37")-1)</f>
        <v>0</v>
      </c>
      <c r="W3" s="92">
        <v>1</v>
      </c>
      <c r="X3" s="93">
        <v>2</v>
      </c>
      <c r="Y3" s="94">
        <v>3</v>
      </c>
      <c r="Z3" s="245">
        <v>4</v>
      </c>
      <c r="AA3" s="248"/>
      <c r="AB3" s="40"/>
      <c r="AC3" s="86">
        <v>1</v>
      </c>
      <c r="AD3" s="87">
        <v>2</v>
      </c>
      <c r="AE3" s="88">
        <v>3</v>
      </c>
      <c r="AF3" s="246">
        <v>4</v>
      </c>
      <c r="AG3" s="41">
        <f>IF(COUNTIF(AG5:AG19,"&gt;37")=0,0,COUNTIF(AG5:AG19,"&gt;37")-1)</f>
        <v>5</v>
      </c>
      <c r="AH3" s="251"/>
      <c r="AI3" s="486">
        <v>5</v>
      </c>
      <c r="AJ3" s="92">
        <v>1</v>
      </c>
      <c r="AK3" s="93">
        <v>2</v>
      </c>
      <c r="AL3" s="94">
        <v>3</v>
      </c>
      <c r="AM3" s="245">
        <v>4</v>
      </c>
      <c r="AN3" s="248"/>
      <c r="AO3" s="40"/>
      <c r="AP3" s="86">
        <v>1</v>
      </c>
      <c r="AQ3" s="87">
        <v>2</v>
      </c>
      <c r="AR3" s="88">
        <v>3</v>
      </c>
      <c r="AS3" s="246">
        <v>4</v>
      </c>
      <c r="AT3" s="41">
        <f>IF(COUNTIF(AT5:AT19,"&gt;37")=0,0,COUNTIF(AT5:AT19,"&gt;37")-1)</f>
        <v>1</v>
      </c>
      <c r="AU3" s="251"/>
      <c r="AV3" s="486">
        <v>0</v>
      </c>
      <c r="AW3" s="92">
        <v>1</v>
      </c>
      <c r="AX3" s="93">
        <v>2</v>
      </c>
      <c r="AY3" s="94">
        <v>3</v>
      </c>
      <c r="AZ3" s="245">
        <v>4</v>
      </c>
      <c r="BA3" s="249"/>
      <c r="BB3" s="522"/>
      <c r="BC3" s="568">
        <v>1</v>
      </c>
      <c r="BD3" s="569">
        <v>2</v>
      </c>
      <c r="BE3" s="570">
        <v>3</v>
      </c>
      <c r="BF3" s="645">
        <v>4</v>
      </c>
      <c r="BG3" s="523">
        <f>IF(COUNTIF(BG5:BG19,"&gt;37")=0,0,COUNTIF(BG5:BG19,"&gt;37")-1)</f>
        <v>0</v>
      </c>
      <c r="BH3" s="607"/>
      <c r="BI3" s="523">
        <f>IF(COUNTIF(BI5:BI19,"&gt;37")=0,0,COUNTIF(BI5:BI19,"&gt;37")-1)</f>
        <v>3</v>
      </c>
      <c r="BJ3" s="619">
        <v>1</v>
      </c>
      <c r="BK3" s="620">
        <v>2</v>
      </c>
      <c r="BL3" s="621">
        <v>3</v>
      </c>
      <c r="BM3" s="647">
        <v>4</v>
      </c>
      <c r="BN3" s="605"/>
      <c r="BO3" s="522"/>
      <c r="BP3" s="568">
        <v>1</v>
      </c>
      <c r="BQ3" s="569">
        <v>2</v>
      </c>
      <c r="BR3" s="570">
        <v>3</v>
      </c>
      <c r="BS3" s="645">
        <v>4</v>
      </c>
      <c r="BT3" s="523">
        <f>IF(COUNTIF(BT5:BT19,"&gt;37")=0,0,COUNTIF(BT5:BT19,"&gt;37")-1)</f>
        <v>1</v>
      </c>
      <c r="BU3" s="607"/>
      <c r="BV3" s="523">
        <f>IF(COUNTIF(BV5:BV19,"&gt;37")=0,0,COUNTIF(BV5:BV19,"&gt;37")-1)</f>
        <v>1</v>
      </c>
      <c r="BW3" s="560">
        <v>1</v>
      </c>
      <c r="BX3" s="561">
        <v>2</v>
      </c>
      <c r="BY3" s="562">
        <v>3</v>
      </c>
      <c r="BZ3" s="646">
        <v>4</v>
      </c>
      <c r="CA3" s="605"/>
    </row>
    <row r="4" spans="1:79" ht="48">
      <c r="A4" s="1537"/>
      <c r="B4" s="42"/>
      <c r="C4" s="43"/>
      <c r="D4" s="43"/>
      <c r="E4" s="43"/>
      <c r="F4" s="43"/>
      <c r="G4" s="44"/>
      <c r="H4" s="252"/>
      <c r="I4" s="252"/>
      <c r="J4" s="253"/>
      <c r="K4" s="45"/>
      <c r="L4" s="45"/>
      <c r="M4" s="46"/>
      <c r="N4" s="252"/>
      <c r="O4" s="47"/>
      <c r="P4" s="527" t="s">
        <v>9</v>
      </c>
      <c r="Q4" s="527" t="s">
        <v>132</v>
      </c>
      <c r="R4" s="527" t="s">
        <v>133</v>
      </c>
      <c r="S4" s="527" t="s">
        <v>134</v>
      </c>
      <c r="T4" s="254"/>
      <c r="U4" s="254"/>
      <c r="V4" s="254"/>
      <c r="W4" s="571" t="s">
        <v>95</v>
      </c>
      <c r="X4" s="571" t="s">
        <v>94</v>
      </c>
      <c r="Y4" s="571" t="s">
        <v>93</v>
      </c>
      <c r="Z4" s="571" t="s">
        <v>168</v>
      </c>
      <c r="AA4" s="252"/>
      <c r="AB4" s="47"/>
      <c r="AC4" s="48" t="s">
        <v>9</v>
      </c>
      <c r="AD4" s="48" t="s">
        <v>132</v>
      </c>
      <c r="AE4" s="48" t="s">
        <v>133</v>
      </c>
      <c r="AF4" s="48" t="s">
        <v>134</v>
      </c>
      <c r="AG4" s="49"/>
      <c r="AH4" s="254"/>
      <c r="AI4" s="255"/>
      <c r="AJ4" s="95" t="s">
        <v>139</v>
      </c>
      <c r="AK4" s="95" t="s">
        <v>141</v>
      </c>
      <c r="AL4" s="95" t="s">
        <v>140</v>
      </c>
      <c r="AM4" s="95" t="s">
        <v>142</v>
      </c>
      <c r="AN4" s="252"/>
      <c r="AO4" s="47"/>
      <c r="AP4" s="527" t="s">
        <v>133</v>
      </c>
      <c r="AQ4" s="527" t="s">
        <v>134</v>
      </c>
      <c r="AR4" s="527" t="s">
        <v>9</v>
      </c>
      <c r="AS4" s="527" t="s">
        <v>132</v>
      </c>
      <c r="AT4" s="254"/>
      <c r="AU4" s="254"/>
      <c r="AV4" s="254"/>
      <c r="AW4" s="95" t="s">
        <v>137</v>
      </c>
      <c r="AX4" s="95" t="s">
        <v>132</v>
      </c>
      <c r="AY4" s="95" t="s">
        <v>135</v>
      </c>
      <c r="AZ4" s="95" t="s">
        <v>53</v>
      </c>
      <c r="BA4" s="249"/>
      <c r="BB4" s="526"/>
      <c r="BC4" s="571" t="s">
        <v>134</v>
      </c>
      <c r="BD4" s="571" t="s">
        <v>9</v>
      </c>
      <c r="BE4" s="571" t="s">
        <v>132</v>
      </c>
      <c r="BF4" s="571" t="s">
        <v>133</v>
      </c>
      <c r="BG4" s="610"/>
      <c r="BH4" s="610"/>
      <c r="BI4" s="610"/>
      <c r="BJ4" s="623" t="s">
        <v>101</v>
      </c>
      <c r="BK4" s="623" t="s">
        <v>169</v>
      </c>
      <c r="BL4" s="623" t="s">
        <v>164</v>
      </c>
      <c r="BM4" s="623" t="s">
        <v>172</v>
      </c>
      <c r="BN4" s="605"/>
      <c r="BO4" s="526"/>
      <c r="BP4" s="571" t="s">
        <v>9</v>
      </c>
      <c r="BQ4" s="571" t="s">
        <v>132</v>
      </c>
      <c r="BR4" s="571" t="s">
        <v>133</v>
      </c>
      <c r="BS4" s="571" t="s">
        <v>134</v>
      </c>
      <c r="BT4" s="610"/>
      <c r="BU4" s="610"/>
      <c r="BV4" s="610"/>
      <c r="BW4" s="527" t="s">
        <v>164</v>
      </c>
      <c r="BX4" s="527" t="s">
        <v>165</v>
      </c>
      <c r="BY4" s="527" t="s">
        <v>166</v>
      </c>
      <c r="BZ4" s="527" t="s">
        <v>167</v>
      </c>
      <c r="CA4" s="605"/>
    </row>
    <row r="5" spans="1:79" ht="15">
      <c r="A5" s="1537"/>
      <c r="B5" s="50"/>
      <c r="C5" s="38"/>
      <c r="D5" s="34"/>
      <c r="E5" s="34"/>
      <c r="F5" s="34"/>
      <c r="G5" s="256"/>
      <c r="H5" s="248"/>
      <c r="I5" s="256"/>
      <c r="J5" s="38"/>
      <c r="K5" s="34"/>
      <c r="L5" s="34"/>
      <c r="M5" s="34"/>
      <c r="N5" s="248"/>
      <c r="O5" s="51">
        <v>1</v>
      </c>
      <c r="P5" s="52">
        <v>9</v>
      </c>
      <c r="Q5" s="53"/>
      <c r="R5" s="53"/>
      <c r="S5" s="173"/>
      <c r="T5" s="257">
        <f>SUM(P$5:S5)</f>
        <v>9</v>
      </c>
      <c r="U5" s="258">
        <f>T5-V5</f>
        <v>0</v>
      </c>
      <c r="V5" s="259">
        <f>SUM(W$5:Z5)</f>
        <v>9</v>
      </c>
      <c r="W5" s="52">
        <v>9</v>
      </c>
      <c r="X5" s="53"/>
      <c r="Y5" s="53"/>
      <c r="Z5" s="173"/>
      <c r="AA5" s="248"/>
      <c r="AB5" s="51">
        <v>1</v>
      </c>
      <c r="AC5" s="52">
        <v>10</v>
      </c>
      <c r="AD5" s="53"/>
      <c r="AE5" s="53"/>
      <c r="AF5" s="173"/>
      <c r="AG5" s="257">
        <f>SUM(AC$5:AF5)</f>
        <v>10</v>
      </c>
      <c r="AH5" s="258">
        <f>AG5-AI5</f>
        <v>4</v>
      </c>
      <c r="AI5" s="259">
        <f>SUM(AJ$5:AM5)</f>
        <v>6</v>
      </c>
      <c r="AJ5" s="52">
        <v>6</v>
      </c>
      <c r="AK5" s="53"/>
      <c r="AL5" s="53"/>
      <c r="AM5" s="173"/>
      <c r="AN5" s="248"/>
      <c r="AO5" s="51">
        <v>1</v>
      </c>
      <c r="AP5" s="52">
        <v>5</v>
      </c>
      <c r="AQ5" s="53"/>
      <c r="AR5" s="53"/>
      <c r="AS5" s="173"/>
      <c r="AT5" s="257">
        <f>SUM(AP$5:AS5)</f>
        <v>5</v>
      </c>
      <c r="AU5" s="258">
        <f>AT5-AV5</f>
        <v>3</v>
      </c>
      <c r="AV5" s="259">
        <f>SUM(AW$5:AZ5)</f>
        <v>2</v>
      </c>
      <c r="AW5" s="52">
        <v>2</v>
      </c>
      <c r="AX5" s="53"/>
      <c r="AY5" s="53"/>
      <c r="AZ5" s="173"/>
      <c r="BA5" s="249"/>
      <c r="BB5" s="530">
        <v>1</v>
      </c>
      <c r="BC5" s="531" t="s">
        <v>2</v>
      </c>
      <c r="BD5" s="532"/>
      <c r="BE5" s="532"/>
      <c r="BF5" s="600"/>
      <c r="BG5" s="613">
        <f>SUM(BC$5:BF5)</f>
        <v>0</v>
      </c>
      <c r="BH5" s="614">
        <f>BG5-BI5</f>
        <v>-8</v>
      </c>
      <c r="BI5" s="615">
        <f>SUM(BJ$5:BM5)</f>
        <v>8</v>
      </c>
      <c r="BJ5" s="531">
        <v>8</v>
      </c>
      <c r="BK5" s="532"/>
      <c r="BL5" s="532"/>
      <c r="BM5" s="600"/>
      <c r="BN5" s="605"/>
      <c r="BO5" s="530">
        <v>1</v>
      </c>
      <c r="BP5" s="531">
        <v>11</v>
      </c>
      <c r="BQ5" s="532"/>
      <c r="BR5" s="532"/>
      <c r="BS5" s="600"/>
      <c r="BT5" s="613">
        <f>SUM(BP$5:BS5)</f>
        <v>11</v>
      </c>
      <c r="BU5" s="614">
        <f>BT5-BV5</f>
        <v>5</v>
      </c>
      <c r="BV5" s="615">
        <f>SUM(BW$5:BZ5)</f>
        <v>6</v>
      </c>
      <c r="BW5" s="531">
        <v>6</v>
      </c>
      <c r="BX5" s="532"/>
      <c r="BY5" s="532"/>
      <c r="BZ5" s="600"/>
      <c r="CA5" s="605"/>
    </row>
    <row r="6" spans="1:79" ht="15">
      <c r="A6" s="1537"/>
      <c r="B6" s="50"/>
      <c r="C6" s="34"/>
      <c r="D6" s="38"/>
      <c r="E6" s="38"/>
      <c r="F6" s="34"/>
      <c r="G6" s="256"/>
      <c r="H6" s="248"/>
      <c r="I6" s="256"/>
      <c r="J6" s="34"/>
      <c r="K6" s="38"/>
      <c r="L6" s="38"/>
      <c r="M6" s="34"/>
      <c r="N6" s="248"/>
      <c r="O6" s="56">
        <v>2</v>
      </c>
      <c r="P6" s="53"/>
      <c r="Q6" s="52" t="s">
        <v>2</v>
      </c>
      <c r="R6" s="53"/>
      <c r="S6" s="53"/>
      <c r="T6" s="257">
        <f>SUM(P$5:S6)</f>
        <v>9</v>
      </c>
      <c r="U6" s="258">
        <f t="shared" ref="U6:U12" si="0">T6-V6</f>
        <v>-7</v>
      </c>
      <c r="V6" s="259">
        <f>SUM(W$5:Z6)</f>
        <v>16</v>
      </c>
      <c r="W6" s="53"/>
      <c r="X6" s="52">
        <v>7</v>
      </c>
      <c r="Y6" s="53"/>
      <c r="Z6" s="53"/>
      <c r="AA6" s="248"/>
      <c r="AB6" s="56">
        <v>2</v>
      </c>
      <c r="AC6" s="53"/>
      <c r="AD6" s="52" t="s">
        <v>2</v>
      </c>
      <c r="AE6" s="53"/>
      <c r="AF6" s="53"/>
      <c r="AG6" s="257">
        <f>SUM(AC$5:AF6)</f>
        <v>10</v>
      </c>
      <c r="AH6" s="258">
        <f t="shared" ref="AH6:AH12" si="1">AG6-AI6</f>
        <v>-1</v>
      </c>
      <c r="AI6" s="259">
        <f>SUM(AJ$5:AM6)</f>
        <v>11</v>
      </c>
      <c r="AJ6" s="53"/>
      <c r="AK6" s="52">
        <v>5</v>
      </c>
      <c r="AL6" s="53"/>
      <c r="AM6" s="53"/>
      <c r="AN6" s="248"/>
      <c r="AO6" s="56">
        <v>2</v>
      </c>
      <c r="AP6" s="53"/>
      <c r="AQ6" s="52">
        <v>8</v>
      </c>
      <c r="AR6" s="53"/>
      <c r="AS6" s="53"/>
      <c r="AT6" s="257">
        <f>SUM(AP$5:AS6)</f>
        <v>13</v>
      </c>
      <c r="AU6" s="258">
        <f t="shared" ref="AU6:AU13" si="2">AT6-AV6</f>
        <v>6</v>
      </c>
      <c r="AV6" s="259">
        <f>SUM(AW$5:AZ6)</f>
        <v>7</v>
      </c>
      <c r="AW6" s="53"/>
      <c r="AX6" s="52">
        <v>5</v>
      </c>
      <c r="AY6" s="53"/>
      <c r="AZ6" s="53"/>
      <c r="BA6" s="249"/>
      <c r="BB6" s="533">
        <v>2</v>
      </c>
      <c r="BC6" s="532"/>
      <c r="BD6" s="531">
        <v>7</v>
      </c>
      <c r="BE6" s="532"/>
      <c r="BF6" s="532"/>
      <c r="BG6" s="613">
        <f>SUM(BC$5:BF6)</f>
        <v>7</v>
      </c>
      <c r="BH6" s="614">
        <f t="shared" ref="BH6:BH13" si="3">BG6-BI6</f>
        <v>-1</v>
      </c>
      <c r="BI6" s="615">
        <f>SUM(BJ$5:BM6)</f>
        <v>8</v>
      </c>
      <c r="BJ6" s="532"/>
      <c r="BK6" s="531" t="s">
        <v>2</v>
      </c>
      <c r="BL6" s="532"/>
      <c r="BM6" s="532"/>
      <c r="BN6" s="605"/>
      <c r="BO6" s="533">
        <v>2</v>
      </c>
      <c r="BP6" s="532"/>
      <c r="BQ6" s="531">
        <v>3</v>
      </c>
      <c r="BR6" s="532"/>
      <c r="BS6" s="532"/>
      <c r="BT6" s="613">
        <f>SUM(BP$5:BS6)</f>
        <v>14</v>
      </c>
      <c r="BU6" s="614">
        <f t="shared" ref="BU6:BU13" si="4">BT6-BV6</f>
        <v>3</v>
      </c>
      <c r="BV6" s="615">
        <f>SUM(BW$5:BZ6)</f>
        <v>11</v>
      </c>
      <c r="BW6" s="532"/>
      <c r="BX6" s="531">
        <v>5</v>
      </c>
      <c r="BY6" s="532"/>
      <c r="BZ6" s="532"/>
      <c r="CA6" s="605"/>
    </row>
    <row r="7" spans="1:79" ht="15">
      <c r="A7" s="1537"/>
      <c r="B7" s="50"/>
      <c r="C7" s="38"/>
      <c r="D7" s="34"/>
      <c r="E7" s="34"/>
      <c r="F7" s="34"/>
      <c r="G7" s="256"/>
      <c r="H7" s="248"/>
      <c r="I7" s="256"/>
      <c r="J7" s="38"/>
      <c r="K7" s="34"/>
      <c r="L7" s="34"/>
      <c r="M7" s="34"/>
      <c r="N7" s="248"/>
      <c r="O7" s="56">
        <v>3</v>
      </c>
      <c r="P7" s="52"/>
      <c r="Q7" s="53"/>
      <c r="R7" s="53">
        <v>3</v>
      </c>
      <c r="S7" s="173"/>
      <c r="T7" s="257">
        <f>SUM(P$5:S7)</f>
        <v>12</v>
      </c>
      <c r="U7" s="258">
        <f t="shared" si="0"/>
        <v>-7</v>
      </c>
      <c r="V7" s="259">
        <f>SUM(W$5:Z7)</f>
        <v>19</v>
      </c>
      <c r="W7" s="52"/>
      <c r="X7" s="53"/>
      <c r="Y7" s="53">
        <v>3</v>
      </c>
      <c r="Z7" s="173"/>
      <c r="AA7" s="248"/>
      <c r="AB7" s="56">
        <v>3</v>
      </c>
      <c r="AC7" s="52"/>
      <c r="AD7" s="53"/>
      <c r="AE7" s="53">
        <v>8</v>
      </c>
      <c r="AF7" s="173"/>
      <c r="AG7" s="257">
        <f>SUM(AC$5:AF7)</f>
        <v>18</v>
      </c>
      <c r="AH7" s="258">
        <f t="shared" si="1"/>
        <v>0</v>
      </c>
      <c r="AI7" s="259">
        <f>SUM(AJ$5:AM7)</f>
        <v>18</v>
      </c>
      <c r="AJ7" s="52"/>
      <c r="AK7" s="53"/>
      <c r="AL7" s="53">
        <v>7</v>
      </c>
      <c r="AM7" s="173"/>
      <c r="AN7" s="248"/>
      <c r="AO7" s="56">
        <v>3</v>
      </c>
      <c r="AP7" s="52"/>
      <c r="AQ7" s="53"/>
      <c r="AR7" s="53">
        <v>5</v>
      </c>
      <c r="AS7" s="173"/>
      <c r="AT7" s="257">
        <f>SUM(AP$5:AS7)</f>
        <v>18</v>
      </c>
      <c r="AU7" s="258">
        <f t="shared" si="2"/>
        <v>6</v>
      </c>
      <c r="AV7" s="259">
        <f>SUM(AW$5:AZ7)</f>
        <v>12</v>
      </c>
      <c r="AW7" s="52"/>
      <c r="AX7" s="53"/>
      <c r="AY7" s="53">
        <v>5</v>
      </c>
      <c r="AZ7" s="173"/>
      <c r="BA7" s="249"/>
      <c r="BB7" s="533">
        <v>3</v>
      </c>
      <c r="BC7" s="531"/>
      <c r="BD7" s="532"/>
      <c r="BE7" s="532" t="s">
        <v>2</v>
      </c>
      <c r="BF7" s="600"/>
      <c r="BG7" s="613">
        <f>SUM(BC$5:BF7)</f>
        <v>7</v>
      </c>
      <c r="BH7" s="614">
        <f t="shared" si="3"/>
        <v>-5</v>
      </c>
      <c r="BI7" s="615">
        <f>SUM(BJ$5:BM7)</f>
        <v>12</v>
      </c>
      <c r="BJ7" s="531"/>
      <c r="BK7" s="532"/>
      <c r="BL7" s="532">
        <v>4</v>
      </c>
      <c r="BM7" s="600"/>
      <c r="BN7" s="605"/>
      <c r="BO7" s="533">
        <v>3</v>
      </c>
      <c r="BP7" s="531"/>
      <c r="BQ7" s="532"/>
      <c r="BR7" s="532">
        <v>3</v>
      </c>
      <c r="BS7" s="600"/>
      <c r="BT7" s="613">
        <f>SUM(BP$5:BS7)</f>
        <v>17</v>
      </c>
      <c r="BU7" s="614">
        <f t="shared" si="4"/>
        <v>-2</v>
      </c>
      <c r="BV7" s="615">
        <f>SUM(BW$5:BZ7)</f>
        <v>19</v>
      </c>
      <c r="BW7" s="531"/>
      <c r="BX7" s="532"/>
      <c r="BY7" s="532">
        <v>8</v>
      </c>
      <c r="BZ7" s="600"/>
      <c r="CA7" s="605"/>
    </row>
    <row r="8" spans="1:79" ht="15">
      <c r="A8" s="1537"/>
      <c r="B8" s="50"/>
      <c r="C8" s="34"/>
      <c r="D8" s="38"/>
      <c r="E8" s="38"/>
      <c r="F8" s="34"/>
      <c r="G8" s="256"/>
      <c r="H8" s="248"/>
      <c r="I8" s="256"/>
      <c r="J8" s="34"/>
      <c r="K8" s="38"/>
      <c r="L8" s="38"/>
      <c r="M8" s="34"/>
      <c r="N8" s="248"/>
      <c r="O8" s="56">
        <v>4</v>
      </c>
      <c r="P8" s="53"/>
      <c r="Q8" s="52"/>
      <c r="R8" s="53"/>
      <c r="S8" s="53">
        <v>5</v>
      </c>
      <c r="T8" s="257">
        <f>SUM(P$5:S8)</f>
        <v>17</v>
      </c>
      <c r="U8" s="258">
        <f t="shared" si="0"/>
        <v>-4</v>
      </c>
      <c r="V8" s="259">
        <f>SUM(W$5:Z8)</f>
        <v>21</v>
      </c>
      <c r="W8" s="53"/>
      <c r="X8" s="52"/>
      <c r="Y8" s="53"/>
      <c r="Z8" s="53">
        <v>2</v>
      </c>
      <c r="AA8" s="248"/>
      <c r="AB8" s="51">
        <v>4</v>
      </c>
      <c r="AC8" s="53"/>
      <c r="AD8" s="52"/>
      <c r="AE8" s="53"/>
      <c r="AF8" s="53">
        <v>6</v>
      </c>
      <c r="AG8" s="257">
        <f>SUM(AC$5:AF8)</f>
        <v>24</v>
      </c>
      <c r="AH8" s="258">
        <f t="shared" si="1"/>
        <v>3</v>
      </c>
      <c r="AI8" s="259">
        <f>SUM(AJ$5:AM8)</f>
        <v>21</v>
      </c>
      <c r="AJ8" s="53"/>
      <c r="AK8" s="52"/>
      <c r="AL8" s="53"/>
      <c r="AM8" s="53">
        <v>3</v>
      </c>
      <c r="AN8" s="248"/>
      <c r="AO8" s="56">
        <v>4</v>
      </c>
      <c r="AP8" s="53"/>
      <c r="AQ8" s="52"/>
      <c r="AR8" s="53"/>
      <c r="AS8" s="53">
        <v>10</v>
      </c>
      <c r="AT8" s="257">
        <f>SUM(AP$5:AS8)</f>
        <v>28</v>
      </c>
      <c r="AU8" s="258">
        <f t="shared" si="2"/>
        <v>14</v>
      </c>
      <c r="AV8" s="259">
        <f>SUM(AW$5:AZ8)</f>
        <v>14</v>
      </c>
      <c r="AW8" s="53"/>
      <c r="AX8" s="52"/>
      <c r="AY8" s="53"/>
      <c r="AZ8" s="53">
        <v>2</v>
      </c>
      <c r="BA8" s="249"/>
      <c r="BB8" s="533">
        <v>4</v>
      </c>
      <c r="BC8" s="532"/>
      <c r="BD8" s="531"/>
      <c r="BE8" s="532"/>
      <c r="BF8" s="532" t="s">
        <v>2</v>
      </c>
      <c r="BG8" s="613">
        <f>SUM(BC$5:BF8)</f>
        <v>7</v>
      </c>
      <c r="BH8" s="614">
        <f t="shared" si="3"/>
        <v>-5</v>
      </c>
      <c r="BI8" s="615">
        <f>SUM(BJ$5:BM8)</f>
        <v>12</v>
      </c>
      <c r="BJ8" s="532"/>
      <c r="BK8" s="531"/>
      <c r="BL8" s="532"/>
      <c r="BM8" s="532" t="s">
        <v>2</v>
      </c>
      <c r="BN8" s="605"/>
      <c r="BO8" s="533">
        <v>4</v>
      </c>
      <c r="BP8" s="532"/>
      <c r="BQ8" s="531"/>
      <c r="BR8" s="532"/>
      <c r="BS8" s="532" t="s">
        <v>2</v>
      </c>
      <c r="BT8" s="613">
        <f>SUM(BP$5:BS8)</f>
        <v>17</v>
      </c>
      <c r="BU8" s="614">
        <f t="shared" si="4"/>
        <v>-2</v>
      </c>
      <c r="BV8" s="615">
        <f>SUM(BW$5:BZ8)</f>
        <v>19</v>
      </c>
      <c r="BW8" s="532"/>
      <c r="BX8" s="531"/>
      <c r="BY8" s="532"/>
      <c r="BZ8" s="532" t="s">
        <v>2</v>
      </c>
      <c r="CA8" s="605"/>
    </row>
    <row r="9" spans="1:79" ht="15">
      <c r="A9" s="1537"/>
      <c r="B9" s="50"/>
      <c r="C9" s="38"/>
      <c r="D9" s="34"/>
      <c r="E9" s="34"/>
      <c r="F9" s="34"/>
      <c r="G9" s="256"/>
      <c r="H9" s="248"/>
      <c r="I9" s="256"/>
      <c r="J9" s="38"/>
      <c r="K9" s="34"/>
      <c r="L9" s="34"/>
      <c r="M9" s="34"/>
      <c r="N9" s="248"/>
      <c r="O9" s="56">
        <v>5</v>
      </c>
      <c r="P9" s="52">
        <v>11</v>
      </c>
      <c r="Q9" s="53"/>
      <c r="R9" s="53"/>
      <c r="S9" s="173"/>
      <c r="T9" s="257">
        <f>SUM(P$5:S9)</f>
        <v>28</v>
      </c>
      <c r="U9" s="258">
        <f t="shared" si="0"/>
        <v>7</v>
      </c>
      <c r="V9" s="259">
        <f>SUM(W$5:Z9)</f>
        <v>21</v>
      </c>
      <c r="W9" s="52" t="s">
        <v>2</v>
      </c>
      <c r="X9" s="53"/>
      <c r="Y9" s="53"/>
      <c r="Z9" s="173"/>
      <c r="AA9" s="248"/>
      <c r="AB9" s="56">
        <v>5</v>
      </c>
      <c r="AC9" s="52">
        <v>6</v>
      </c>
      <c r="AD9" s="53"/>
      <c r="AE9" s="53"/>
      <c r="AF9" s="173"/>
      <c r="AG9" s="257">
        <f>SUM(AC$5:AF9)</f>
        <v>30</v>
      </c>
      <c r="AH9" s="258">
        <f t="shared" si="1"/>
        <v>9</v>
      </c>
      <c r="AI9" s="259">
        <f>SUM(AJ$5:AM9)</f>
        <v>21</v>
      </c>
      <c r="AJ9" s="52" t="s">
        <v>2</v>
      </c>
      <c r="AK9" s="53"/>
      <c r="AL9" s="53"/>
      <c r="AM9" s="173"/>
      <c r="AN9" s="248"/>
      <c r="AO9" s="56">
        <v>5</v>
      </c>
      <c r="AP9" s="52" t="s">
        <v>2</v>
      </c>
      <c r="AQ9" s="53"/>
      <c r="AR9" s="53"/>
      <c r="AS9" s="173"/>
      <c r="AT9" s="257">
        <f>SUM(AP$5:AS9)</f>
        <v>28</v>
      </c>
      <c r="AU9" s="258">
        <f t="shared" si="2"/>
        <v>14</v>
      </c>
      <c r="AV9" s="259">
        <f>SUM(AW$5:AZ9)</f>
        <v>14</v>
      </c>
      <c r="AW9" s="52" t="s">
        <v>2</v>
      </c>
      <c r="AX9" s="53"/>
      <c r="AY9" s="53"/>
      <c r="AZ9" s="173"/>
      <c r="BA9" s="249"/>
      <c r="BB9" s="533">
        <v>5</v>
      </c>
      <c r="BC9" s="643">
        <v>5</v>
      </c>
      <c r="BD9" s="532"/>
      <c r="BE9" s="532"/>
      <c r="BF9" s="600"/>
      <c r="BG9" s="613">
        <f>SUM(BC$5:BF9)</f>
        <v>12</v>
      </c>
      <c r="BH9" s="614">
        <f t="shared" si="3"/>
        <v>-8</v>
      </c>
      <c r="BI9" s="615">
        <f>SUM(BJ$5:BM9)</f>
        <v>20</v>
      </c>
      <c r="BJ9" s="531">
        <v>8</v>
      </c>
      <c r="BK9" s="532"/>
      <c r="BL9" s="532"/>
      <c r="BM9" s="600"/>
      <c r="BN9" s="605"/>
      <c r="BO9" s="533">
        <v>5</v>
      </c>
      <c r="BP9" s="531">
        <v>8</v>
      </c>
      <c r="BQ9" s="532"/>
      <c r="BR9" s="532"/>
      <c r="BS9" s="600"/>
      <c r="BT9" s="613">
        <f>SUM(BP$5:BS9)</f>
        <v>25</v>
      </c>
      <c r="BU9" s="614">
        <f t="shared" si="4"/>
        <v>6</v>
      </c>
      <c r="BV9" s="615">
        <f>SUM(BW$5:BZ9)</f>
        <v>19</v>
      </c>
      <c r="BW9" s="531" t="s">
        <v>2</v>
      </c>
      <c r="BX9" s="532"/>
      <c r="BY9" s="532"/>
      <c r="BZ9" s="600"/>
      <c r="CA9" s="605"/>
    </row>
    <row r="10" spans="1:79" ht="15">
      <c r="A10" s="1537"/>
      <c r="B10" s="50"/>
      <c r="C10" s="34"/>
      <c r="D10" s="38"/>
      <c r="E10" s="38"/>
      <c r="F10" s="34"/>
      <c r="G10" s="256"/>
      <c r="H10" s="248"/>
      <c r="I10" s="256"/>
      <c r="J10" s="34"/>
      <c r="K10" s="38"/>
      <c r="L10" s="38"/>
      <c r="M10" s="34"/>
      <c r="N10" s="248"/>
      <c r="O10" s="56">
        <v>6</v>
      </c>
      <c r="P10" s="53"/>
      <c r="Q10" s="52" t="s">
        <v>2</v>
      </c>
      <c r="R10" s="53"/>
      <c r="S10" s="53"/>
      <c r="T10" s="257">
        <f>SUM(P$5:S10)</f>
        <v>28</v>
      </c>
      <c r="U10" s="258">
        <f t="shared" si="0"/>
        <v>5</v>
      </c>
      <c r="V10" s="259">
        <f>SUM(W$5:Z10)</f>
        <v>23</v>
      </c>
      <c r="W10" s="53"/>
      <c r="X10" s="52">
        <v>2</v>
      </c>
      <c r="Y10" s="53"/>
      <c r="Z10" s="53"/>
      <c r="AA10" s="248"/>
      <c r="AB10" s="56">
        <v>6</v>
      </c>
      <c r="AC10" s="53"/>
      <c r="AD10" s="532">
        <v>6</v>
      </c>
      <c r="AE10" s="53"/>
      <c r="AF10" s="53"/>
      <c r="AG10" s="257">
        <f>SUM(AC$5:AF10)</f>
        <v>36</v>
      </c>
      <c r="AH10" s="258">
        <f t="shared" si="1"/>
        <v>12</v>
      </c>
      <c r="AI10" s="259">
        <f>SUM(AJ$5:AM10)</f>
        <v>24</v>
      </c>
      <c r="AJ10" s="53"/>
      <c r="AK10" s="53">
        <v>3</v>
      </c>
      <c r="AL10" s="53"/>
      <c r="AM10" s="53"/>
      <c r="AN10" s="248"/>
      <c r="AO10" s="56">
        <v>6</v>
      </c>
      <c r="AP10" s="53"/>
      <c r="AQ10" s="52">
        <v>2</v>
      </c>
      <c r="AR10" s="53"/>
      <c r="AS10" s="53"/>
      <c r="AT10" s="257">
        <f>SUM(AP$5:AS10)</f>
        <v>30</v>
      </c>
      <c r="AU10" s="258">
        <f t="shared" si="2"/>
        <v>5</v>
      </c>
      <c r="AV10" s="259">
        <f>SUM(AW$5:AZ10)</f>
        <v>25</v>
      </c>
      <c r="AW10" s="53"/>
      <c r="AX10" s="52">
        <v>11</v>
      </c>
      <c r="AY10" s="53"/>
      <c r="AZ10" s="53"/>
      <c r="BA10" s="249"/>
      <c r="BB10" s="533">
        <v>6</v>
      </c>
      <c r="BC10" s="532"/>
      <c r="BD10" s="531">
        <v>12</v>
      </c>
      <c r="BE10" s="532"/>
      <c r="BF10" s="532"/>
      <c r="BG10" s="613">
        <f>SUM(BC$5:BF10)</f>
        <v>24</v>
      </c>
      <c r="BH10" s="614">
        <f t="shared" si="3"/>
        <v>-8</v>
      </c>
      <c r="BI10" s="615">
        <f>SUM(BJ$5:BM10)</f>
        <v>32</v>
      </c>
      <c r="BJ10" s="532"/>
      <c r="BK10" s="531">
        <v>12</v>
      </c>
      <c r="BL10" s="532"/>
      <c r="BM10" s="532"/>
      <c r="BN10" s="605"/>
      <c r="BO10" s="533">
        <v>6</v>
      </c>
      <c r="BP10" s="532"/>
      <c r="BQ10" s="531">
        <v>7</v>
      </c>
      <c r="BR10" s="532"/>
      <c r="BS10" s="532"/>
      <c r="BT10" s="613">
        <f>SUM(BP$5:BS10)</f>
        <v>32</v>
      </c>
      <c r="BU10" s="614">
        <f t="shared" si="4"/>
        <v>11</v>
      </c>
      <c r="BV10" s="615">
        <f>SUM(BW$5:BZ10)</f>
        <v>21</v>
      </c>
      <c r="BW10" s="532"/>
      <c r="BX10" s="643">
        <v>2</v>
      </c>
      <c r="BY10" s="532"/>
      <c r="BZ10" s="532"/>
      <c r="CA10" s="605"/>
    </row>
    <row r="11" spans="1:79" ht="15">
      <c r="A11" s="1537"/>
      <c r="B11" s="50"/>
      <c r="C11" s="38"/>
      <c r="D11" s="34"/>
      <c r="E11" s="34"/>
      <c r="F11" s="34"/>
      <c r="G11" s="256"/>
      <c r="H11" s="248"/>
      <c r="I11" s="256"/>
      <c r="J11" s="57"/>
      <c r="K11" s="34"/>
      <c r="L11" s="34"/>
      <c r="M11" s="34"/>
      <c r="N11" s="248"/>
      <c r="O11" s="56">
        <v>7</v>
      </c>
      <c r="P11" s="52"/>
      <c r="Q11" s="53"/>
      <c r="R11" s="53">
        <v>11</v>
      </c>
      <c r="S11" s="173"/>
      <c r="T11" s="257">
        <f>SUM(P$5:S11)</f>
        <v>39</v>
      </c>
      <c r="U11" s="258">
        <f t="shared" si="0"/>
        <v>5</v>
      </c>
      <c r="V11" s="259">
        <f>SUM(W$5:Z11)</f>
        <v>34</v>
      </c>
      <c r="W11" s="52"/>
      <c r="X11" s="53"/>
      <c r="Y11" s="532">
        <v>11</v>
      </c>
      <c r="Z11" s="532"/>
      <c r="AA11" s="248"/>
      <c r="AB11" s="51">
        <v>7</v>
      </c>
      <c r="AC11" s="52"/>
      <c r="AD11" s="53"/>
      <c r="AE11" s="53">
        <v>3</v>
      </c>
      <c r="AF11" s="173"/>
      <c r="AG11" s="257">
        <f>SUM(AC$5:AF11)</f>
        <v>39</v>
      </c>
      <c r="AH11" s="258">
        <f t="shared" si="1"/>
        <v>6</v>
      </c>
      <c r="AI11" s="259">
        <f>SUM(AJ$5:AM11)</f>
        <v>33</v>
      </c>
      <c r="AJ11" s="52"/>
      <c r="AK11" s="53"/>
      <c r="AL11" s="532">
        <v>9</v>
      </c>
      <c r="AM11" s="173"/>
      <c r="AN11" s="248"/>
      <c r="AO11" s="56">
        <v>7</v>
      </c>
      <c r="AP11" s="52"/>
      <c r="AQ11" s="53"/>
      <c r="AR11" s="53">
        <v>4</v>
      </c>
      <c r="AS11" s="173"/>
      <c r="AT11" s="257">
        <f>SUM(AP$5:AS11)</f>
        <v>34</v>
      </c>
      <c r="AU11" s="258">
        <f t="shared" si="2"/>
        <v>-3</v>
      </c>
      <c r="AV11" s="259">
        <f>SUM(AW$5:AZ11)</f>
        <v>37</v>
      </c>
      <c r="AW11" s="532"/>
      <c r="AX11" s="531"/>
      <c r="AY11" s="532">
        <v>12</v>
      </c>
      <c r="AZ11" s="173"/>
      <c r="BA11" s="249"/>
      <c r="BB11" s="533">
        <v>7</v>
      </c>
      <c r="BC11" s="531"/>
      <c r="BD11" s="532"/>
      <c r="BE11" s="532" t="s">
        <v>2</v>
      </c>
      <c r="BF11" s="600"/>
      <c r="BG11" s="613">
        <f>SUM(BC$5:BF11)</f>
        <v>24</v>
      </c>
      <c r="BH11" s="614">
        <f t="shared" si="3"/>
        <v>-20</v>
      </c>
      <c r="BI11" s="615">
        <f>SUM(BJ$5:BM11)</f>
        <v>44</v>
      </c>
      <c r="BJ11" s="532"/>
      <c r="BK11" s="531"/>
      <c r="BL11" s="532">
        <v>12</v>
      </c>
      <c r="BM11" s="600"/>
      <c r="BN11" s="605"/>
      <c r="BO11" s="533">
        <v>7</v>
      </c>
      <c r="BP11" s="531"/>
      <c r="BQ11" s="532"/>
      <c r="BR11" s="532">
        <v>3</v>
      </c>
      <c r="BS11" s="600"/>
      <c r="BT11" s="613">
        <f>SUM(BP$5:BS11)</f>
        <v>35</v>
      </c>
      <c r="BU11" s="614">
        <f t="shared" si="4"/>
        <v>9</v>
      </c>
      <c r="BV11" s="615">
        <f>SUM(BW$5:BZ11)</f>
        <v>26</v>
      </c>
      <c r="BW11" s="532"/>
      <c r="BX11" s="531"/>
      <c r="BY11" s="532">
        <v>5</v>
      </c>
      <c r="BZ11" s="600"/>
      <c r="CA11" s="605"/>
    </row>
    <row r="12" spans="1:79" ht="15">
      <c r="A12" s="1537"/>
      <c r="B12" s="50"/>
      <c r="C12" s="34"/>
      <c r="D12" s="38"/>
      <c r="E12" s="38"/>
      <c r="F12" s="34"/>
      <c r="G12" s="256"/>
      <c r="H12" s="248"/>
      <c r="I12" s="256"/>
      <c r="J12" s="34"/>
      <c r="K12" s="38"/>
      <c r="L12" s="38"/>
      <c r="M12" s="34"/>
      <c r="N12" s="248"/>
      <c r="O12" s="56">
        <v>8</v>
      </c>
      <c r="P12" s="53"/>
      <c r="Q12" s="52"/>
      <c r="R12" s="53"/>
      <c r="S12" s="565">
        <v>11</v>
      </c>
      <c r="T12" s="257">
        <f>SUM(P$5:S12)</f>
        <v>50</v>
      </c>
      <c r="U12" s="258">
        <f t="shared" si="0"/>
        <v>16</v>
      </c>
      <c r="V12" s="259">
        <f>SUM(W$5:Z12)</f>
        <v>34</v>
      </c>
      <c r="W12" s="53"/>
      <c r="X12" s="52"/>
      <c r="Y12" s="532"/>
      <c r="Z12" s="532"/>
      <c r="AA12" s="248"/>
      <c r="AB12" s="51">
        <v>8</v>
      </c>
      <c r="AC12" s="52"/>
      <c r="AD12" s="53"/>
      <c r="AE12" s="53"/>
      <c r="AF12" s="173" t="s">
        <v>2</v>
      </c>
      <c r="AG12" s="257">
        <f>SUM(AC$5:AF12)</f>
        <v>39</v>
      </c>
      <c r="AH12" s="258">
        <f t="shared" si="1"/>
        <v>0</v>
      </c>
      <c r="AI12" s="259">
        <f>SUM(AJ$5:AM12)</f>
        <v>39</v>
      </c>
      <c r="AJ12" s="52"/>
      <c r="AK12" s="53"/>
      <c r="AL12" s="53"/>
      <c r="AM12" s="173">
        <v>6</v>
      </c>
      <c r="AN12" s="248"/>
      <c r="AO12" s="51">
        <v>8</v>
      </c>
      <c r="AP12" s="52"/>
      <c r="AQ12" s="53"/>
      <c r="AR12" s="53"/>
      <c r="AS12" s="173">
        <v>6</v>
      </c>
      <c r="AT12" s="257">
        <f>SUM(AP$5:AS12)</f>
        <v>40</v>
      </c>
      <c r="AU12" s="258">
        <f t="shared" si="2"/>
        <v>0</v>
      </c>
      <c r="AV12" s="259">
        <f>SUM(AW$5:AZ12)</f>
        <v>40</v>
      </c>
      <c r="AW12" s="532"/>
      <c r="AX12" s="531"/>
      <c r="AY12" s="532"/>
      <c r="AZ12" s="173">
        <v>3</v>
      </c>
      <c r="BA12" s="249"/>
      <c r="BB12" s="530">
        <v>8</v>
      </c>
      <c r="BC12" s="531"/>
      <c r="BD12" s="532"/>
      <c r="BE12" s="532"/>
      <c r="BF12" s="600" t="s">
        <v>2</v>
      </c>
      <c r="BG12" s="613">
        <f>SUM(BC$5:BF12)</f>
        <v>24</v>
      </c>
      <c r="BH12" s="614">
        <f t="shared" si="3"/>
        <v>-24</v>
      </c>
      <c r="BI12" s="615">
        <f>SUM(BJ$5:BM12)</f>
        <v>48</v>
      </c>
      <c r="BJ12" s="532"/>
      <c r="BK12" s="531"/>
      <c r="BL12" s="532"/>
      <c r="BM12" s="600">
        <v>4</v>
      </c>
      <c r="BN12" s="605"/>
      <c r="BO12" s="530">
        <v>8</v>
      </c>
      <c r="BP12" s="531"/>
      <c r="BQ12" s="532"/>
      <c r="BR12" s="532"/>
      <c r="BS12" s="600">
        <v>6</v>
      </c>
      <c r="BT12" s="613">
        <f>SUM(BP$5:BS12)</f>
        <v>41</v>
      </c>
      <c r="BU12" s="614">
        <f t="shared" si="4"/>
        <v>6</v>
      </c>
      <c r="BV12" s="615">
        <f>SUM(BW$5:BZ12)</f>
        <v>35</v>
      </c>
      <c r="BW12" s="532"/>
      <c r="BX12" s="531"/>
      <c r="BY12" s="532"/>
      <c r="BZ12" s="600">
        <v>9</v>
      </c>
      <c r="CA12" s="605"/>
    </row>
    <row r="13" spans="1:79" ht="15">
      <c r="A13" s="1537"/>
      <c r="B13" s="50"/>
      <c r="C13" s="34"/>
      <c r="D13" s="38"/>
      <c r="E13" s="38"/>
      <c r="F13" s="34"/>
      <c r="G13" s="256"/>
      <c r="H13" s="248"/>
      <c r="I13" s="256"/>
      <c r="J13" s="34"/>
      <c r="K13" s="38"/>
      <c r="L13" s="38"/>
      <c r="M13" s="34"/>
      <c r="N13" s="248"/>
      <c r="O13" s="40"/>
      <c r="P13" s="58"/>
      <c r="Q13" s="260"/>
      <c r="R13" s="58"/>
      <c r="S13" s="58"/>
      <c r="T13" s="260"/>
      <c r="U13" s="251"/>
      <c r="V13" s="251"/>
      <c r="W13" s="58"/>
      <c r="X13" s="260"/>
      <c r="Y13" s="260"/>
      <c r="Z13" s="58"/>
      <c r="AA13" s="248"/>
      <c r="AB13" s="56">
        <v>9</v>
      </c>
      <c r="AC13" s="53">
        <v>4</v>
      </c>
      <c r="AD13" s="52"/>
      <c r="AE13" s="53"/>
      <c r="AF13" s="53"/>
      <c r="AG13" s="257">
        <f>SUM(AC$5:AF13)</f>
        <v>43</v>
      </c>
      <c r="AH13" s="258">
        <f t="shared" ref="AH13:AH18" si="5">AG13-AI13</f>
        <v>4</v>
      </c>
      <c r="AI13" s="259">
        <f>SUM(AJ$5:AM13)</f>
        <v>39</v>
      </c>
      <c r="AJ13" s="53" t="s">
        <v>2</v>
      </c>
      <c r="AK13" s="52"/>
      <c r="AL13" s="53"/>
      <c r="AM13" s="53"/>
      <c r="AN13" s="248"/>
      <c r="AO13" s="56">
        <v>9</v>
      </c>
      <c r="AP13" s="565">
        <v>10</v>
      </c>
      <c r="AQ13" s="52"/>
      <c r="AR13" s="53"/>
      <c r="AS13" s="53"/>
      <c r="AT13" s="257">
        <f>SUM(AP$5:AS13)</f>
        <v>50</v>
      </c>
      <c r="AU13" s="258">
        <f t="shared" si="2"/>
        <v>10</v>
      </c>
      <c r="AV13" s="259">
        <f>SUM(AW$5:AZ13)</f>
        <v>40</v>
      </c>
      <c r="AW13" s="532"/>
      <c r="AX13" s="531"/>
      <c r="AY13" s="532"/>
      <c r="AZ13" s="53"/>
      <c r="BA13" s="249"/>
      <c r="BB13" s="530">
        <v>9</v>
      </c>
      <c r="BC13" s="644">
        <v>5</v>
      </c>
      <c r="BD13" s="531"/>
      <c r="BE13" s="532"/>
      <c r="BF13" s="532"/>
      <c r="BG13" s="613">
        <f>SUM(BC$5:BF13)</f>
        <v>29</v>
      </c>
      <c r="BH13" s="614">
        <f t="shared" si="3"/>
        <v>-19</v>
      </c>
      <c r="BI13" s="615">
        <f>SUM(BJ$5:BM13)</f>
        <v>48</v>
      </c>
      <c r="BJ13" s="532" t="s">
        <v>2</v>
      </c>
      <c r="BK13" s="531"/>
      <c r="BL13" s="532"/>
      <c r="BM13" s="532"/>
      <c r="BN13" s="605"/>
      <c r="BO13" s="533">
        <v>9</v>
      </c>
      <c r="BP13" s="535">
        <v>-16</v>
      </c>
      <c r="BQ13" s="531"/>
      <c r="BR13" s="532"/>
      <c r="BS13" s="532"/>
      <c r="BT13" s="613">
        <f>SUM(BP$5:BS13)</f>
        <v>25</v>
      </c>
      <c r="BU13" s="614">
        <f t="shared" si="4"/>
        <v>-12</v>
      </c>
      <c r="BV13" s="615">
        <f>SUM(BW$5:BZ13)</f>
        <v>37</v>
      </c>
      <c r="BW13" s="532">
        <v>2</v>
      </c>
      <c r="BX13" s="531"/>
      <c r="BY13" s="532"/>
      <c r="BZ13" s="532"/>
      <c r="CA13" s="605"/>
    </row>
    <row r="14" spans="1:79" ht="15">
      <c r="A14" s="1537"/>
      <c r="B14" s="50"/>
      <c r="C14" s="34"/>
      <c r="D14" s="38"/>
      <c r="E14" s="38"/>
      <c r="F14" s="34"/>
      <c r="G14" s="256"/>
      <c r="H14" s="248"/>
      <c r="I14" s="256"/>
      <c r="J14" s="34"/>
      <c r="K14" s="38"/>
      <c r="L14" s="38"/>
      <c r="M14" s="34"/>
      <c r="N14" s="248"/>
      <c r="O14" s="40"/>
      <c r="P14" s="58"/>
      <c r="Q14" s="260"/>
      <c r="R14" s="58"/>
      <c r="S14" s="58"/>
      <c r="T14" s="260"/>
      <c r="U14" s="251"/>
      <c r="V14" s="251"/>
      <c r="W14" s="58"/>
      <c r="X14" s="260"/>
      <c r="Y14" s="260"/>
      <c r="Z14" s="58"/>
      <c r="AA14" s="248"/>
      <c r="AB14" s="56">
        <v>10</v>
      </c>
      <c r="AC14" s="52"/>
      <c r="AD14" s="535">
        <v>-18</v>
      </c>
      <c r="AE14" s="53"/>
      <c r="AF14" s="173"/>
      <c r="AG14" s="257">
        <f>SUM(AC$5:AF14)</f>
        <v>25</v>
      </c>
      <c r="AH14" s="258">
        <f t="shared" si="5"/>
        <v>-18</v>
      </c>
      <c r="AI14" s="259">
        <f>SUM(AJ$5:AM14)</f>
        <v>43</v>
      </c>
      <c r="AJ14" s="52"/>
      <c r="AK14" s="53">
        <v>4</v>
      </c>
      <c r="AL14" s="53"/>
      <c r="AM14" s="173"/>
      <c r="AN14" s="248"/>
      <c r="AO14" s="40"/>
      <c r="AP14" s="58"/>
      <c r="AQ14" s="260"/>
      <c r="AR14" s="260"/>
      <c r="AS14" s="58"/>
      <c r="AT14" s="260"/>
      <c r="AU14" s="251"/>
      <c r="AV14" s="251"/>
      <c r="AW14" s="58"/>
      <c r="AX14" s="260"/>
      <c r="AY14" s="260"/>
      <c r="AZ14" s="58"/>
      <c r="BA14" s="249"/>
      <c r="BB14" s="533">
        <v>10</v>
      </c>
      <c r="BC14" s="531"/>
      <c r="BD14" s="531">
        <v>2</v>
      </c>
      <c r="BE14" s="532"/>
      <c r="BF14" s="532"/>
      <c r="BG14" s="613">
        <f>SUM(BC$5:BF14)</f>
        <v>31</v>
      </c>
      <c r="BH14" s="614">
        <f>BG14-BI14</f>
        <v>-19</v>
      </c>
      <c r="BI14" s="615">
        <f>SUM(BJ$5:BM14)</f>
        <v>50</v>
      </c>
      <c r="BJ14" s="532"/>
      <c r="BK14" s="565">
        <v>2</v>
      </c>
      <c r="BL14" s="532"/>
      <c r="BM14" s="532"/>
      <c r="BN14" s="605"/>
      <c r="BO14" s="533">
        <v>10</v>
      </c>
      <c r="BP14" s="532"/>
      <c r="BQ14" s="531">
        <v>12</v>
      </c>
      <c r="BR14" s="532"/>
      <c r="BS14" s="532"/>
      <c r="BT14" s="613">
        <f>SUM(BP$5:BS14)</f>
        <v>37</v>
      </c>
      <c r="BU14" s="614">
        <f>BT14-BV14</f>
        <v>-2</v>
      </c>
      <c r="BV14" s="615">
        <f>SUM(BW$5:BZ14)</f>
        <v>39</v>
      </c>
      <c r="BW14" s="532"/>
      <c r="BX14" s="531">
        <v>2</v>
      </c>
      <c r="BY14" s="532"/>
      <c r="BZ14" s="532"/>
      <c r="CA14" s="605"/>
    </row>
    <row r="15" spans="1:79" ht="15">
      <c r="A15" s="1537"/>
      <c r="B15" s="50"/>
      <c r="C15" s="34"/>
      <c r="D15" s="38"/>
      <c r="E15" s="38"/>
      <c r="F15" s="34"/>
      <c r="G15" s="256"/>
      <c r="H15" s="248"/>
      <c r="I15" s="256"/>
      <c r="J15" s="34"/>
      <c r="K15" s="38"/>
      <c r="L15" s="38"/>
      <c r="M15" s="34"/>
      <c r="N15" s="248"/>
      <c r="O15" s="40"/>
      <c r="P15" s="58"/>
      <c r="Q15" s="260"/>
      <c r="R15" s="58"/>
      <c r="S15" s="58"/>
      <c r="T15" s="260"/>
      <c r="U15" s="251"/>
      <c r="V15" s="251"/>
      <c r="W15" s="58"/>
      <c r="X15" s="260"/>
      <c r="Y15" s="260"/>
      <c r="Z15" s="58"/>
      <c r="AA15" s="248"/>
      <c r="AB15" s="51">
        <v>11</v>
      </c>
      <c r="AC15" s="53"/>
      <c r="AD15" s="52"/>
      <c r="AE15" s="53">
        <v>2</v>
      </c>
      <c r="AF15" s="53"/>
      <c r="AG15" s="257">
        <f>SUM(AC$5:AF15)</f>
        <v>27</v>
      </c>
      <c r="AH15" s="258">
        <f t="shared" si="5"/>
        <v>-16</v>
      </c>
      <c r="AI15" s="259">
        <f>SUM(AJ$5:AM15)</f>
        <v>43</v>
      </c>
      <c r="AJ15" s="53"/>
      <c r="AK15" s="52"/>
      <c r="AL15" s="53" t="s">
        <v>2</v>
      </c>
      <c r="AM15" s="53"/>
      <c r="AN15" s="248"/>
      <c r="AO15" s="40"/>
      <c r="AP15" s="58"/>
      <c r="AQ15" s="260"/>
      <c r="AR15" s="260"/>
      <c r="AS15" s="58"/>
      <c r="AT15" s="260"/>
      <c r="AU15" s="251"/>
      <c r="AV15" s="251"/>
      <c r="AW15" s="58"/>
      <c r="AX15" s="260"/>
      <c r="AY15" s="260"/>
      <c r="AZ15" s="58"/>
      <c r="BA15" s="249"/>
      <c r="BB15" s="522"/>
      <c r="BC15" s="534"/>
      <c r="BD15" s="616"/>
      <c r="BE15" s="616"/>
      <c r="BF15" s="534"/>
      <c r="BG15" s="616"/>
      <c r="BH15" s="607"/>
      <c r="BI15" s="607"/>
      <c r="BJ15" s="534"/>
      <c r="BK15" s="616"/>
      <c r="BL15" s="616"/>
      <c r="BM15" s="534"/>
      <c r="BN15" s="605"/>
      <c r="BO15" s="533">
        <v>11</v>
      </c>
      <c r="BP15" s="532"/>
      <c r="BQ15" s="531"/>
      <c r="BR15" s="532">
        <v>8</v>
      </c>
      <c r="BS15" s="532"/>
      <c r="BT15" s="613">
        <f>SUM(BP$5:BS15)</f>
        <v>45</v>
      </c>
      <c r="BU15" s="614">
        <f>BT15-BV15</f>
        <v>-5</v>
      </c>
      <c r="BV15" s="615">
        <f>SUM(BW$5:BZ15)</f>
        <v>50</v>
      </c>
      <c r="BW15" s="532"/>
      <c r="BX15" s="531"/>
      <c r="BY15" s="565">
        <v>11</v>
      </c>
      <c r="BZ15" s="532"/>
      <c r="CA15" s="605"/>
    </row>
    <row r="16" spans="1:79" ht="15">
      <c r="A16" s="1537"/>
      <c r="B16" s="50"/>
      <c r="C16" s="34"/>
      <c r="D16" s="38"/>
      <c r="E16" s="38"/>
      <c r="F16" s="34"/>
      <c r="G16" s="256"/>
      <c r="H16" s="248"/>
      <c r="I16" s="256"/>
      <c r="J16" s="34"/>
      <c r="K16" s="38"/>
      <c r="L16" s="38"/>
      <c r="M16" s="34"/>
      <c r="N16" s="248"/>
      <c r="O16" s="40"/>
      <c r="P16" s="58"/>
      <c r="Q16" s="260"/>
      <c r="R16" s="58"/>
      <c r="S16" s="58"/>
      <c r="T16" s="260"/>
      <c r="U16" s="251"/>
      <c r="V16" s="251"/>
      <c r="W16" s="58"/>
      <c r="X16" s="260"/>
      <c r="Y16" s="260"/>
      <c r="Z16" s="58"/>
      <c r="AA16" s="248"/>
      <c r="AB16" s="56">
        <v>12</v>
      </c>
      <c r="AC16" s="52"/>
      <c r="AD16" s="53"/>
      <c r="AE16" s="53"/>
      <c r="AF16" s="173">
        <v>11</v>
      </c>
      <c r="AG16" s="257">
        <f>SUM(AC$5:AF16)</f>
        <v>38</v>
      </c>
      <c r="AH16" s="258">
        <f t="shared" si="5"/>
        <v>-5</v>
      </c>
      <c r="AI16" s="259">
        <f>SUM(AJ$5:AM16)</f>
        <v>43</v>
      </c>
      <c r="AJ16" s="52"/>
      <c r="AK16" s="53"/>
      <c r="AL16" s="53"/>
      <c r="AM16" s="53" t="s">
        <v>2</v>
      </c>
      <c r="AN16" s="248"/>
      <c r="AO16" s="40"/>
      <c r="AP16" s="58"/>
      <c r="AQ16" s="260"/>
      <c r="AR16" s="260"/>
      <c r="AS16" s="58"/>
      <c r="AT16" s="260"/>
      <c r="AU16" s="251"/>
      <c r="AV16" s="251"/>
      <c r="AW16" s="58"/>
      <c r="AX16" s="260"/>
      <c r="AY16" s="260"/>
      <c r="AZ16" s="58"/>
      <c r="BA16" s="249"/>
      <c r="BB16" s="522"/>
      <c r="BC16" s="534"/>
      <c r="BD16" s="616"/>
      <c r="BE16" s="616"/>
      <c r="BF16" s="534"/>
      <c r="BG16" s="616"/>
      <c r="BH16" s="607"/>
      <c r="BI16" s="607"/>
      <c r="BJ16" s="534"/>
      <c r="BK16" s="616"/>
      <c r="BL16" s="616"/>
      <c r="BM16" s="534"/>
      <c r="BN16" s="605"/>
      <c r="BO16" s="522"/>
      <c r="BP16" s="534"/>
      <c r="BQ16" s="616"/>
      <c r="BR16" s="616"/>
      <c r="BS16" s="534"/>
      <c r="BT16" s="616"/>
      <c r="BU16" s="607"/>
      <c r="BV16" s="607"/>
      <c r="BW16" s="534"/>
      <c r="BX16" s="616"/>
      <c r="BY16" s="616"/>
      <c r="BZ16" s="534"/>
      <c r="CA16" s="605"/>
    </row>
    <row r="17" spans="1:79" ht="15">
      <c r="A17" s="1537"/>
      <c r="B17" s="50"/>
      <c r="C17" s="34"/>
      <c r="D17" s="38"/>
      <c r="E17" s="38"/>
      <c r="F17" s="34"/>
      <c r="G17" s="256"/>
      <c r="H17" s="248"/>
      <c r="I17" s="256"/>
      <c r="J17" s="34"/>
      <c r="K17" s="38"/>
      <c r="L17" s="38"/>
      <c r="M17" s="34"/>
      <c r="N17" s="248"/>
      <c r="O17" s="40"/>
      <c r="P17" s="58"/>
      <c r="Q17" s="260"/>
      <c r="R17" s="58"/>
      <c r="S17" s="58"/>
      <c r="T17" s="260"/>
      <c r="U17" s="251"/>
      <c r="V17" s="251"/>
      <c r="W17" s="58"/>
      <c r="X17" s="260"/>
      <c r="Y17" s="260"/>
      <c r="Z17" s="58"/>
      <c r="AA17" s="248"/>
      <c r="AB17" s="56">
        <v>13</v>
      </c>
      <c r="AC17" s="53">
        <v>9</v>
      </c>
      <c r="AD17" s="53"/>
      <c r="AE17" s="53"/>
      <c r="AF17" s="53"/>
      <c r="AG17" s="257">
        <f>SUM(AC$5:AF17)</f>
        <v>47</v>
      </c>
      <c r="AH17" s="258">
        <f t="shared" si="5"/>
        <v>2</v>
      </c>
      <c r="AI17" s="259">
        <f>SUM(AJ$5:AM17)</f>
        <v>45</v>
      </c>
      <c r="AJ17" s="644">
        <v>2</v>
      </c>
      <c r="AK17" s="53"/>
      <c r="AL17" s="53"/>
      <c r="AM17" s="53"/>
      <c r="AN17" s="248"/>
      <c r="AO17" s="40"/>
      <c r="AP17" s="58"/>
      <c r="AQ17" s="260"/>
      <c r="AR17" s="260"/>
      <c r="AS17" s="58"/>
      <c r="AT17" s="260"/>
      <c r="AU17" s="251"/>
      <c r="AV17" s="251"/>
      <c r="AW17" s="58"/>
      <c r="AX17" s="260"/>
      <c r="AY17" s="260"/>
      <c r="AZ17" s="58"/>
      <c r="BA17" s="249"/>
      <c r="BB17" s="522"/>
      <c r="BC17" s="534"/>
      <c r="BD17" s="616"/>
      <c r="BE17" s="616"/>
      <c r="BF17" s="534"/>
      <c r="BG17" s="616"/>
      <c r="BH17" s="607"/>
      <c r="BI17" s="607"/>
      <c r="BJ17" s="534"/>
      <c r="BK17" s="616"/>
      <c r="BL17" s="616"/>
      <c r="BM17" s="534"/>
      <c r="BN17" s="605"/>
      <c r="BO17" s="522"/>
      <c r="BP17" s="534"/>
      <c r="BQ17" s="616"/>
      <c r="BR17" s="616"/>
      <c r="BS17" s="534"/>
      <c r="BT17" s="616"/>
      <c r="BU17" s="607"/>
      <c r="BV17" s="607"/>
      <c r="BW17" s="534"/>
      <c r="BX17" s="616"/>
      <c r="BY17" s="616"/>
      <c r="BZ17" s="534"/>
      <c r="CA17" s="605"/>
    </row>
    <row r="18" spans="1:79" ht="15">
      <c r="A18" s="1537"/>
      <c r="B18" s="50"/>
      <c r="C18" s="34"/>
      <c r="D18" s="38"/>
      <c r="E18" s="38"/>
      <c r="F18" s="34"/>
      <c r="G18" s="256"/>
      <c r="H18" s="248"/>
      <c r="I18" s="256"/>
      <c r="J18" s="34"/>
      <c r="K18" s="38"/>
      <c r="L18" s="38"/>
      <c r="M18" s="34"/>
      <c r="N18" s="248"/>
      <c r="O18" s="40"/>
      <c r="P18" s="58"/>
      <c r="Q18" s="260"/>
      <c r="R18" s="58"/>
      <c r="S18" s="58"/>
      <c r="T18" s="260"/>
      <c r="U18" s="251"/>
      <c r="V18" s="251"/>
      <c r="W18" s="58"/>
      <c r="X18" s="260"/>
      <c r="Y18" s="260"/>
      <c r="Z18" s="58"/>
      <c r="AA18" s="248"/>
      <c r="AB18" s="51">
        <v>14</v>
      </c>
      <c r="AC18" s="52"/>
      <c r="AD18" s="565">
        <v>3</v>
      </c>
      <c r="AE18" s="53"/>
      <c r="AF18" s="173"/>
      <c r="AG18" s="257">
        <f>SUM(AC$5:AF18)</f>
        <v>50</v>
      </c>
      <c r="AH18" s="258">
        <f t="shared" si="5"/>
        <v>5</v>
      </c>
      <c r="AI18" s="259">
        <f>SUM(AJ$5:AM18)</f>
        <v>45</v>
      </c>
      <c r="AJ18" s="52"/>
      <c r="AK18" s="532"/>
      <c r="AL18" s="532"/>
      <c r="AM18" s="173"/>
      <c r="AN18" s="248"/>
      <c r="AO18" s="40"/>
      <c r="AP18" s="58"/>
      <c r="AQ18" s="260"/>
      <c r="AR18" s="260"/>
      <c r="AS18" s="58"/>
      <c r="AT18" s="260"/>
      <c r="AU18" s="251"/>
      <c r="AV18" s="251"/>
      <c r="AW18" s="58"/>
      <c r="AX18" s="260"/>
      <c r="AY18" s="260"/>
      <c r="AZ18" s="58"/>
      <c r="BA18" s="249"/>
      <c r="BB18" s="522"/>
      <c r="BC18" s="534"/>
      <c r="BD18" s="616"/>
      <c r="BE18" s="616"/>
      <c r="BF18" s="534"/>
      <c r="BG18" s="616"/>
      <c r="BH18" s="607"/>
      <c r="BI18" s="607"/>
      <c r="BJ18" s="534"/>
      <c r="BK18" s="616"/>
      <c r="BL18" s="616"/>
      <c r="BM18" s="534"/>
      <c r="BN18" s="605"/>
      <c r="BO18" s="522"/>
      <c r="BP18" s="534"/>
      <c r="BQ18" s="616"/>
      <c r="BR18" s="616"/>
      <c r="BS18" s="534"/>
      <c r="BT18" s="616"/>
      <c r="BU18" s="607"/>
      <c r="BV18" s="607"/>
      <c r="BW18" s="534"/>
      <c r="BX18" s="616"/>
      <c r="BY18" s="616"/>
      <c r="BZ18" s="534"/>
      <c r="CA18" s="605"/>
    </row>
    <row r="19" spans="1:79" ht="15">
      <c r="A19" s="1537"/>
      <c r="B19" s="50"/>
      <c r="C19" s="34"/>
      <c r="D19" s="38"/>
      <c r="E19" s="38"/>
      <c r="F19" s="34"/>
      <c r="G19" s="256"/>
      <c r="H19" s="248"/>
      <c r="I19" s="256"/>
      <c r="J19" s="34"/>
      <c r="K19" s="38"/>
      <c r="L19" s="38"/>
      <c r="M19" s="34"/>
      <c r="N19" s="248"/>
      <c r="O19" s="40"/>
      <c r="P19" s="58"/>
      <c r="Q19" s="260"/>
      <c r="R19" s="58"/>
      <c r="S19" s="58"/>
      <c r="T19" s="260"/>
      <c r="U19" s="251"/>
      <c r="V19" s="251"/>
      <c r="W19" s="58"/>
      <c r="X19" s="260"/>
      <c r="Y19" s="260"/>
      <c r="Z19" s="58"/>
      <c r="AA19" s="248"/>
      <c r="AB19" s="40"/>
      <c r="AC19" s="58"/>
      <c r="AD19" s="260"/>
      <c r="AE19" s="260"/>
      <c r="AF19" s="58"/>
      <c r="AG19" s="260"/>
      <c r="AH19" s="251"/>
      <c r="AI19" s="251"/>
      <c r="AJ19" s="58"/>
      <c r="AK19" s="260"/>
      <c r="AL19" s="260"/>
      <c r="AM19" s="58"/>
      <c r="AN19" s="248"/>
      <c r="AO19" s="40"/>
      <c r="AP19" s="58"/>
      <c r="AQ19" s="260"/>
      <c r="AR19" s="260"/>
      <c r="AS19" s="58"/>
      <c r="AT19" s="260"/>
      <c r="AU19" s="251"/>
      <c r="AV19" s="251"/>
      <c r="AW19" s="58"/>
      <c r="AX19" s="260"/>
      <c r="AY19" s="260"/>
      <c r="AZ19" s="58"/>
      <c r="BA19" s="249"/>
      <c r="BB19" s="522"/>
      <c r="BC19" s="534"/>
      <c r="BD19" s="616"/>
      <c r="BE19" s="616"/>
      <c r="BF19" s="534"/>
      <c r="BG19" s="616"/>
      <c r="BH19" s="607"/>
      <c r="BI19" s="607"/>
      <c r="BJ19" s="534"/>
      <c r="BK19" s="616"/>
      <c r="BL19" s="616"/>
      <c r="BM19" s="534"/>
      <c r="BN19" s="605"/>
      <c r="BO19" s="522"/>
      <c r="BP19" s="534"/>
      <c r="BQ19" s="616"/>
      <c r="BR19" s="616"/>
      <c r="BS19" s="534"/>
      <c r="BT19" s="616"/>
      <c r="BU19" s="607"/>
      <c r="BV19" s="607"/>
      <c r="BW19" s="534"/>
      <c r="BX19" s="616"/>
      <c r="BY19" s="616"/>
      <c r="BZ19" s="534"/>
      <c r="CA19" s="605"/>
    </row>
    <row r="20" spans="1:79" ht="15">
      <c r="A20" s="1537"/>
      <c r="B20" s="61"/>
      <c r="C20" s="34"/>
      <c r="D20" s="34"/>
      <c r="E20" s="34"/>
      <c r="F20" s="34"/>
      <c r="G20" s="62"/>
      <c r="H20" s="248"/>
      <c r="I20" s="62"/>
      <c r="J20" s="34"/>
      <c r="K20" s="34"/>
      <c r="L20" s="34"/>
      <c r="M20" s="34"/>
      <c r="N20" s="248"/>
      <c r="O20" s="64" t="s">
        <v>3</v>
      </c>
      <c r="P20" s="52">
        <f>SUM(P5:P19)</f>
        <v>20</v>
      </c>
      <c r="Q20" s="65">
        <f>SUM(Q5:Q19)</f>
        <v>0</v>
      </c>
      <c r="R20" s="52">
        <f>SUM(R5:R19)</f>
        <v>14</v>
      </c>
      <c r="S20" s="52">
        <f>SUM(S5:S19)</f>
        <v>16</v>
      </c>
      <c r="T20" s="66">
        <f>SUM(P20:S20)</f>
        <v>50</v>
      </c>
      <c r="U20" s="251"/>
      <c r="V20" s="66">
        <f>SUM(W20:Z20)</f>
        <v>34</v>
      </c>
      <c r="W20" s="52">
        <f>SUM(W5:W19)</f>
        <v>9</v>
      </c>
      <c r="X20" s="52">
        <f>SUM(X5:X19)</f>
        <v>9</v>
      </c>
      <c r="Y20" s="52">
        <f>SUM(Y5:Y19)</f>
        <v>14</v>
      </c>
      <c r="Z20" s="52">
        <f>SUM(Z5:Z19)</f>
        <v>2</v>
      </c>
      <c r="AA20" s="248"/>
      <c r="AB20" s="64" t="s">
        <v>3</v>
      </c>
      <c r="AC20" s="52">
        <f>SUM(AC5:AC19)</f>
        <v>29</v>
      </c>
      <c r="AD20" s="52">
        <f>SUM(AD5:AD19)</f>
        <v>-9</v>
      </c>
      <c r="AE20" s="52">
        <f>SUM(AE5:AE19)</f>
        <v>13</v>
      </c>
      <c r="AF20" s="52">
        <f>SUM(AF5:AF19)</f>
        <v>17</v>
      </c>
      <c r="AG20" s="66">
        <f>SUM(AC20:AF20)</f>
        <v>50</v>
      </c>
      <c r="AH20" s="251"/>
      <c r="AI20" s="66">
        <f>SUM(AJ20:AM20)</f>
        <v>45</v>
      </c>
      <c r="AJ20" s="52">
        <f>SUM(AJ5:AJ19)</f>
        <v>8</v>
      </c>
      <c r="AK20" s="52">
        <f>SUM(AK5:AK19)</f>
        <v>12</v>
      </c>
      <c r="AL20" s="52">
        <f>SUM(AL5:AL19)</f>
        <v>16</v>
      </c>
      <c r="AM20" s="65">
        <f>SUM(AM5:AM19)</f>
        <v>9</v>
      </c>
      <c r="AN20" s="248"/>
      <c r="AO20" s="64" t="s">
        <v>3</v>
      </c>
      <c r="AP20" s="52">
        <f>SUM(AP5:AP19)</f>
        <v>15</v>
      </c>
      <c r="AQ20" s="65">
        <f>SUM(AQ5:AQ19)</f>
        <v>10</v>
      </c>
      <c r="AR20" s="65">
        <f>SUM(AR5:AR19)</f>
        <v>9</v>
      </c>
      <c r="AS20" s="52">
        <f>SUM(AS5:AS19)</f>
        <v>16</v>
      </c>
      <c r="AT20" s="66">
        <f>SUM(AP20:AS20)</f>
        <v>50</v>
      </c>
      <c r="AU20" s="251"/>
      <c r="AV20" s="66">
        <f>SUM(AW20:AZ20)</f>
        <v>40</v>
      </c>
      <c r="AW20" s="52">
        <f>SUM(AW5:AW19)</f>
        <v>2</v>
      </c>
      <c r="AX20" s="52">
        <f>SUM(AX5:AX19)</f>
        <v>16</v>
      </c>
      <c r="AY20" s="52">
        <f>SUM(AY5:AY19)</f>
        <v>17</v>
      </c>
      <c r="AZ20" s="52">
        <f>SUM(AZ5:AZ19)</f>
        <v>5</v>
      </c>
      <c r="BA20" s="249"/>
      <c r="BB20" s="539" t="s">
        <v>3</v>
      </c>
      <c r="BC20" s="531">
        <f>SUM(BC5:BC19)</f>
        <v>10</v>
      </c>
      <c r="BD20" s="540">
        <f>SUM(BD5:BD19)</f>
        <v>21</v>
      </c>
      <c r="BE20" s="540">
        <f>SUM(BE5:BE19)</f>
        <v>0</v>
      </c>
      <c r="BF20" s="531">
        <f>SUM(BF5:BF19)</f>
        <v>0</v>
      </c>
      <c r="BG20" s="541">
        <f>SUM(BC20:BF20)</f>
        <v>31</v>
      </c>
      <c r="BH20" s="607"/>
      <c r="BI20" s="541">
        <f>SUM(BJ20:BM20)</f>
        <v>50</v>
      </c>
      <c r="BJ20" s="531">
        <f>SUM(BJ5:BJ19)</f>
        <v>16</v>
      </c>
      <c r="BK20" s="531">
        <f>SUM(BK5:BK19)</f>
        <v>14</v>
      </c>
      <c r="BL20" s="531">
        <f>SUM(BL5:BL19)</f>
        <v>16</v>
      </c>
      <c r="BM20" s="531">
        <f>SUM(BM5:BM19)</f>
        <v>4</v>
      </c>
      <c r="BN20" s="605"/>
      <c r="BO20" s="539" t="s">
        <v>3</v>
      </c>
      <c r="BP20" s="564">
        <f>SUM(BP5:BP19)</f>
        <v>3</v>
      </c>
      <c r="BQ20" s="540">
        <f>SUM(BQ5:BQ19)</f>
        <v>22</v>
      </c>
      <c r="BR20" s="540">
        <f>SUM(BR5:BR19)</f>
        <v>14</v>
      </c>
      <c r="BS20" s="531">
        <f>SUM(BS5:BS19)</f>
        <v>6</v>
      </c>
      <c r="BT20" s="541">
        <f>SUM(BP20:BS20)</f>
        <v>45</v>
      </c>
      <c r="BU20" s="607"/>
      <c r="BV20" s="541">
        <f>SUM(BW20:BZ20)</f>
        <v>50</v>
      </c>
      <c r="BW20" s="531">
        <f>SUM(BW5:BW19)</f>
        <v>8</v>
      </c>
      <c r="BX20" s="531">
        <f>SUM(BX5:BX19)</f>
        <v>9</v>
      </c>
      <c r="BY20" s="531">
        <f>SUM(BY5:BY19)</f>
        <v>24</v>
      </c>
      <c r="BZ20" s="531">
        <f>SUM(BZ5:BZ19)</f>
        <v>9</v>
      </c>
      <c r="CA20" s="605"/>
    </row>
    <row r="21" spans="1:79" ht="15">
      <c r="A21" s="1537"/>
      <c r="B21" s="61"/>
      <c r="C21" s="38"/>
      <c r="D21" s="38"/>
      <c r="E21" s="38"/>
      <c r="F21" s="38"/>
      <c r="G21" s="62"/>
      <c r="H21" s="248"/>
      <c r="I21" s="62"/>
      <c r="J21" s="63"/>
      <c r="K21" s="63"/>
      <c r="L21" s="63"/>
      <c r="M21" s="38"/>
      <c r="N21" s="248"/>
      <c r="O21" s="67" t="s">
        <v>4</v>
      </c>
      <c r="P21" s="53">
        <f>COUNTA(P5:P19)</f>
        <v>2</v>
      </c>
      <c r="Q21" s="53">
        <f>COUNTA(Q5:Q19)</f>
        <v>2</v>
      </c>
      <c r="R21" s="53">
        <f>COUNTA(R5:R19)</f>
        <v>2</v>
      </c>
      <c r="S21" s="53">
        <f>COUNTA(S5:S19)</f>
        <v>2</v>
      </c>
      <c r="T21" s="66">
        <f>SUM(P21:S21)</f>
        <v>8</v>
      </c>
      <c r="U21" s="251"/>
      <c r="V21" s="66">
        <f>SUM(W21:Z21)</f>
        <v>7</v>
      </c>
      <c r="W21" s="53">
        <f>COUNTA(W5:W19)</f>
        <v>2</v>
      </c>
      <c r="X21" s="53">
        <f>COUNTA(X5:X19)</f>
        <v>2</v>
      </c>
      <c r="Y21" s="53">
        <f>COUNTA(Y5:Y19)</f>
        <v>2</v>
      </c>
      <c r="Z21" s="53">
        <f>COUNTA(Z5:Z19)</f>
        <v>1</v>
      </c>
      <c r="AA21" s="248"/>
      <c r="AB21" s="67" t="s">
        <v>4</v>
      </c>
      <c r="AC21" s="53">
        <f>COUNTA(AC5:AC19)</f>
        <v>4</v>
      </c>
      <c r="AD21" s="53">
        <f>COUNTA(AD5:AD19)</f>
        <v>4</v>
      </c>
      <c r="AE21" s="53">
        <f>COUNTA(AE5:AE19)</f>
        <v>3</v>
      </c>
      <c r="AF21" s="53">
        <f>COUNTA(AF5:AF19)</f>
        <v>3</v>
      </c>
      <c r="AG21" s="66">
        <f>SUM(AC21:AF21)</f>
        <v>14</v>
      </c>
      <c r="AH21" s="251"/>
      <c r="AI21" s="66">
        <f>SUM(AJ21:AM21)</f>
        <v>13</v>
      </c>
      <c r="AJ21" s="53">
        <f>COUNTA(AJ5:AJ19)</f>
        <v>4</v>
      </c>
      <c r="AK21" s="53">
        <f>COUNTA(AK5:AK19)</f>
        <v>3</v>
      </c>
      <c r="AL21" s="53">
        <f>COUNTA(AL5:AL19)</f>
        <v>3</v>
      </c>
      <c r="AM21" s="53">
        <f>COUNTA(AM5:AM19)</f>
        <v>3</v>
      </c>
      <c r="AN21" s="248"/>
      <c r="AO21" s="67" t="s">
        <v>4</v>
      </c>
      <c r="AP21" s="53">
        <f>COUNTA(AP5:AP19)</f>
        <v>3</v>
      </c>
      <c r="AQ21" s="53">
        <f>COUNTA(AQ5:AQ19)</f>
        <v>2</v>
      </c>
      <c r="AR21" s="53">
        <f>COUNTA(AR5:AR19)</f>
        <v>2</v>
      </c>
      <c r="AS21" s="53">
        <f>COUNTA(AS5:AS19)</f>
        <v>2</v>
      </c>
      <c r="AT21" s="66">
        <f>SUM(AP21:AS21)</f>
        <v>9</v>
      </c>
      <c r="AU21" s="251"/>
      <c r="AV21" s="66">
        <f>SUM(AW21:AZ21)</f>
        <v>8</v>
      </c>
      <c r="AW21" s="53">
        <f>COUNTA(AW5:AW19)</f>
        <v>2</v>
      </c>
      <c r="AX21" s="53">
        <f>COUNTA(AX5:AX19)</f>
        <v>2</v>
      </c>
      <c r="AY21" s="53">
        <f>COUNTA(AY5:AY19)</f>
        <v>2</v>
      </c>
      <c r="AZ21" s="53">
        <f>COUNTA(AZ5:AZ19)</f>
        <v>2</v>
      </c>
      <c r="BA21" s="249"/>
      <c r="BB21" s="542" t="s">
        <v>4</v>
      </c>
      <c r="BC21" s="532">
        <f>COUNTA(BC5:BC19)</f>
        <v>3</v>
      </c>
      <c r="BD21" s="532">
        <f>COUNTA(BD5:BD19)</f>
        <v>3</v>
      </c>
      <c r="BE21" s="532">
        <f>COUNTA(BE5:BE19)</f>
        <v>2</v>
      </c>
      <c r="BF21" s="532">
        <f>COUNTA(BF5:BF19)</f>
        <v>2</v>
      </c>
      <c r="BG21" s="541">
        <f>SUM(BC21:BF21)</f>
        <v>10</v>
      </c>
      <c r="BH21" s="607"/>
      <c r="BI21" s="541">
        <f>SUM(BJ21:BM21)</f>
        <v>10</v>
      </c>
      <c r="BJ21" s="532">
        <f>COUNTA(BJ5:BJ19)</f>
        <v>3</v>
      </c>
      <c r="BK21" s="532">
        <f>COUNTA(BK5:BK19)</f>
        <v>3</v>
      </c>
      <c r="BL21" s="532">
        <f>COUNTA(BL5:BL19)</f>
        <v>2</v>
      </c>
      <c r="BM21" s="532">
        <f>COUNTA(BM5:BM19)</f>
        <v>2</v>
      </c>
      <c r="BN21" s="605"/>
      <c r="BO21" s="542" t="s">
        <v>4</v>
      </c>
      <c r="BP21" s="532">
        <f>COUNTA(BP5:BP19)</f>
        <v>3</v>
      </c>
      <c r="BQ21" s="532">
        <f>COUNTA(BQ5:BQ19)</f>
        <v>3</v>
      </c>
      <c r="BR21" s="532">
        <f>COUNTA(BR5:BR19)</f>
        <v>3</v>
      </c>
      <c r="BS21" s="532">
        <f>COUNTA(BS5:BS19)</f>
        <v>2</v>
      </c>
      <c r="BT21" s="541">
        <f>SUM(BP21:BS21)</f>
        <v>11</v>
      </c>
      <c r="BU21" s="607"/>
      <c r="BV21" s="541">
        <f>SUM(BW21:BZ21)</f>
        <v>11</v>
      </c>
      <c r="BW21" s="532">
        <f>COUNTA(BW5:BW19)</f>
        <v>3</v>
      </c>
      <c r="BX21" s="532">
        <f>COUNTA(BX5:BX19)</f>
        <v>3</v>
      </c>
      <c r="BY21" s="532">
        <f>COUNTA(BY5:BY19)</f>
        <v>3</v>
      </c>
      <c r="BZ21" s="532">
        <f>COUNTA(BZ5:BZ19)</f>
        <v>2</v>
      </c>
      <c r="CA21" s="605"/>
    </row>
    <row r="22" spans="1:79" ht="15">
      <c r="A22" s="1537"/>
      <c r="B22" s="61"/>
      <c r="C22" s="68"/>
      <c r="D22" s="69"/>
      <c r="E22" s="69"/>
      <c r="F22" s="69"/>
      <c r="G22" s="70"/>
      <c r="H22" s="248"/>
      <c r="I22" s="70"/>
      <c r="J22" s="69"/>
      <c r="K22" s="71"/>
      <c r="L22" s="71"/>
      <c r="M22" s="69"/>
      <c r="N22" s="248"/>
      <c r="O22" s="64" t="s">
        <v>6</v>
      </c>
      <c r="P22" s="65">
        <f>P21-COUNT(P5:P19)</f>
        <v>0</v>
      </c>
      <c r="Q22" s="65">
        <f>Q21-COUNT(Q5:Q19)</f>
        <v>2</v>
      </c>
      <c r="R22" s="65">
        <f>R21-COUNT(R5:R19)</f>
        <v>0</v>
      </c>
      <c r="S22" s="65">
        <f>S21-COUNT(S5:S19)</f>
        <v>0</v>
      </c>
      <c r="T22" s="66">
        <f>SUM(P22:S22)</f>
        <v>2</v>
      </c>
      <c r="U22" s="251"/>
      <c r="V22" s="66">
        <f>SUM(W22:Z22)</f>
        <v>1</v>
      </c>
      <c r="W22" s="52">
        <f>W21-COUNT(W5:W19)</f>
        <v>1</v>
      </c>
      <c r="X22" s="52">
        <f>X21-COUNT(X5:X19)</f>
        <v>0</v>
      </c>
      <c r="Y22" s="52">
        <f>Y21-COUNT(Y5:Y19)</f>
        <v>0</v>
      </c>
      <c r="Z22" s="52">
        <f>Z21-COUNT(Z5:Z19)</f>
        <v>0</v>
      </c>
      <c r="AA22" s="248"/>
      <c r="AB22" s="64" t="s">
        <v>6</v>
      </c>
      <c r="AC22" s="52">
        <f>AC21-COUNT(AC5:AC19)</f>
        <v>0</v>
      </c>
      <c r="AD22" s="52">
        <f>AD21-COUNT(AD5:AD19)</f>
        <v>1</v>
      </c>
      <c r="AE22" s="52">
        <f>AE21-COUNT(AE5:AE19)</f>
        <v>0</v>
      </c>
      <c r="AF22" s="52">
        <f>AF21-COUNT(AF5:AF19)</f>
        <v>1</v>
      </c>
      <c r="AG22" s="66">
        <f>SUM(AC22:AF22)</f>
        <v>2</v>
      </c>
      <c r="AH22" s="251"/>
      <c r="AI22" s="66">
        <f>SUM(AJ22:AM22)</f>
        <v>4</v>
      </c>
      <c r="AJ22" s="52">
        <f>AJ21-COUNT(AJ5:AJ19)</f>
        <v>2</v>
      </c>
      <c r="AK22" s="65">
        <f>AK21-COUNT(AK5:AK19)</f>
        <v>0</v>
      </c>
      <c r="AL22" s="65">
        <f>AL21-COUNT(AL5:AL19)</f>
        <v>1</v>
      </c>
      <c r="AM22" s="52">
        <f>AM21-COUNT(AM5:AM19)</f>
        <v>1</v>
      </c>
      <c r="AN22" s="248"/>
      <c r="AO22" s="64" t="s">
        <v>6</v>
      </c>
      <c r="AP22" s="65">
        <f>AP21-COUNT(AP5:AP19)</f>
        <v>1</v>
      </c>
      <c r="AQ22" s="65">
        <f>AQ21-COUNT(AQ5:AQ19)</f>
        <v>0</v>
      </c>
      <c r="AR22" s="65">
        <f>AR21-COUNT(AR5:AR19)</f>
        <v>0</v>
      </c>
      <c r="AS22" s="65">
        <f>AS21-COUNT(AS5:AS19)</f>
        <v>0</v>
      </c>
      <c r="AT22" s="66">
        <f>SUM(AP22:AS22)</f>
        <v>1</v>
      </c>
      <c r="AU22" s="251"/>
      <c r="AV22" s="66">
        <f>SUM(AW22:AZ22)</f>
        <v>1</v>
      </c>
      <c r="AW22" s="52">
        <f>AW21-COUNT(AW5:AW19)</f>
        <v>1</v>
      </c>
      <c r="AX22" s="52">
        <f>AX21-COUNT(AX5:AX19)</f>
        <v>0</v>
      </c>
      <c r="AY22" s="52">
        <f>AY21-COUNT(AY5:AY19)</f>
        <v>0</v>
      </c>
      <c r="AZ22" s="52">
        <f>AZ21-COUNT(AZ5:AZ19)</f>
        <v>0</v>
      </c>
      <c r="BA22" s="249"/>
      <c r="BB22" s="539" t="s">
        <v>6</v>
      </c>
      <c r="BC22" s="540">
        <f>BC21-COUNT(BC5:BC19)</f>
        <v>1</v>
      </c>
      <c r="BD22" s="540">
        <f>BD21-COUNT(BD5:BD19)</f>
        <v>0</v>
      </c>
      <c r="BE22" s="540">
        <f>BE21-COUNT(BE5:BE19)</f>
        <v>2</v>
      </c>
      <c r="BF22" s="540">
        <f>BF21-COUNT(BF5:BF19)</f>
        <v>2</v>
      </c>
      <c r="BG22" s="541">
        <f>SUM(BC22:BF22)</f>
        <v>5</v>
      </c>
      <c r="BH22" s="607"/>
      <c r="BI22" s="541">
        <f>SUM(BJ22:BM22)</f>
        <v>3</v>
      </c>
      <c r="BJ22" s="531">
        <f>BJ21-COUNT(BJ5:BJ19)</f>
        <v>1</v>
      </c>
      <c r="BK22" s="531">
        <f>BK21-COUNT(BK5:BK19)</f>
        <v>1</v>
      </c>
      <c r="BL22" s="531">
        <f>BL21-COUNT(BL5:BL19)</f>
        <v>0</v>
      </c>
      <c r="BM22" s="531">
        <f>BM21-COUNT(BM5:BM19)</f>
        <v>1</v>
      </c>
      <c r="BN22" s="605"/>
      <c r="BO22" s="539" t="s">
        <v>6</v>
      </c>
      <c r="BP22" s="540">
        <f>BP21-COUNT(BP5:BP19)</f>
        <v>0</v>
      </c>
      <c r="BQ22" s="540">
        <f>BQ21-COUNT(BQ5:BQ19)</f>
        <v>0</v>
      </c>
      <c r="BR22" s="540">
        <f>BR21-COUNT(BR5:BR19)</f>
        <v>0</v>
      </c>
      <c r="BS22" s="540">
        <f>BS21-COUNT(BS5:BS19)</f>
        <v>1</v>
      </c>
      <c r="BT22" s="541">
        <f>SUM(BP22:BS22)</f>
        <v>1</v>
      </c>
      <c r="BU22" s="607"/>
      <c r="BV22" s="541">
        <f>SUM(BW22:BZ22)</f>
        <v>2</v>
      </c>
      <c r="BW22" s="531">
        <f>BW21-COUNT(BW5:BW19)</f>
        <v>1</v>
      </c>
      <c r="BX22" s="531">
        <f>BX21-COUNT(BX5:BX19)</f>
        <v>0</v>
      </c>
      <c r="BY22" s="531">
        <f>BY21-COUNT(BY5:BY19)</f>
        <v>0</v>
      </c>
      <c r="BZ22" s="531">
        <f>BZ21-COUNT(BZ5:BZ19)</f>
        <v>1</v>
      </c>
      <c r="CA22" s="605"/>
    </row>
    <row r="23" spans="1:79" ht="15">
      <c r="A23" s="1537"/>
      <c r="B23" s="61"/>
      <c r="C23" s="76"/>
      <c r="D23" s="76"/>
      <c r="E23" s="76"/>
      <c r="F23" s="76"/>
      <c r="G23" s="77"/>
      <c r="H23" s="248"/>
      <c r="I23" s="77"/>
      <c r="J23" s="76"/>
      <c r="K23" s="76"/>
      <c r="L23" s="76"/>
      <c r="M23" s="78"/>
      <c r="N23" s="248"/>
      <c r="O23" s="64" t="s">
        <v>12</v>
      </c>
      <c r="P23" s="72">
        <f>P22/P21</f>
        <v>0</v>
      </c>
      <c r="Q23" s="73">
        <f>Q22/Q21</f>
        <v>1</v>
      </c>
      <c r="R23" s="73">
        <f>R22/R21</f>
        <v>0</v>
      </c>
      <c r="S23" s="73">
        <f>S22/S21</f>
        <v>0</v>
      </c>
      <c r="T23" s="74">
        <f>T22/T21</f>
        <v>0.25</v>
      </c>
      <c r="U23" s="251"/>
      <c r="V23" s="74">
        <f>V22/V21</f>
        <v>0.14285714285714285</v>
      </c>
      <c r="W23" s="72">
        <f>W22/W21</f>
        <v>0.5</v>
      </c>
      <c r="X23" s="72">
        <f>X22/X21</f>
        <v>0</v>
      </c>
      <c r="Y23" s="72">
        <f>Y22/Y21</f>
        <v>0</v>
      </c>
      <c r="Z23" s="72">
        <f>Z22/Z21</f>
        <v>0</v>
      </c>
      <c r="AA23" s="248"/>
      <c r="AB23" s="64" t="s">
        <v>12</v>
      </c>
      <c r="AC23" s="75">
        <f>AC22/AC21</f>
        <v>0</v>
      </c>
      <c r="AD23" s="72">
        <f>AD22/AD21</f>
        <v>0.25</v>
      </c>
      <c r="AE23" s="72">
        <f>AE22/AE21</f>
        <v>0</v>
      </c>
      <c r="AF23" s="72">
        <f>AF22/AF21</f>
        <v>0.33333333333333331</v>
      </c>
      <c r="AG23" s="74">
        <f>AG22/AG21</f>
        <v>0.14285714285714285</v>
      </c>
      <c r="AH23" s="251"/>
      <c r="AI23" s="74">
        <f>AI22/AI21</f>
        <v>0.30769230769230771</v>
      </c>
      <c r="AJ23" s="72">
        <f>AJ22/AJ21</f>
        <v>0.5</v>
      </c>
      <c r="AK23" s="73">
        <f>AK22/AK21</f>
        <v>0</v>
      </c>
      <c r="AL23" s="73">
        <f>AL22/AL21</f>
        <v>0.33333333333333331</v>
      </c>
      <c r="AM23" s="72">
        <f>AM22/AM21</f>
        <v>0.33333333333333331</v>
      </c>
      <c r="AN23" s="248"/>
      <c r="AO23" s="64" t="s">
        <v>12</v>
      </c>
      <c r="AP23" s="72">
        <f>AP22/AP21</f>
        <v>0.33333333333333331</v>
      </c>
      <c r="AQ23" s="73">
        <f>AQ22/AQ21</f>
        <v>0</v>
      </c>
      <c r="AR23" s="73">
        <f>AR22/AR21</f>
        <v>0</v>
      </c>
      <c r="AS23" s="73">
        <f>AS22/AS21</f>
        <v>0</v>
      </c>
      <c r="AT23" s="74">
        <f>AT22/AT21</f>
        <v>0.1111111111111111</v>
      </c>
      <c r="AU23" s="251"/>
      <c r="AV23" s="74">
        <f>AV22/AV21</f>
        <v>0.125</v>
      </c>
      <c r="AW23" s="72">
        <f>AW22/AW21</f>
        <v>0.5</v>
      </c>
      <c r="AX23" s="72">
        <f>AX22/AX21</f>
        <v>0</v>
      </c>
      <c r="AY23" s="72">
        <f>AY22/AY21</f>
        <v>0</v>
      </c>
      <c r="AZ23" s="72">
        <f>AZ22/AZ21</f>
        <v>0</v>
      </c>
      <c r="BA23" s="249"/>
      <c r="BB23" s="539" t="s">
        <v>12</v>
      </c>
      <c r="BC23" s="546">
        <f>BC22/BC21</f>
        <v>0.33333333333333331</v>
      </c>
      <c r="BD23" s="547">
        <f>BD22/BD21</f>
        <v>0</v>
      </c>
      <c r="BE23" s="547">
        <f>BE22/BE21</f>
        <v>1</v>
      </c>
      <c r="BF23" s="547">
        <f>BF22/BF21</f>
        <v>1</v>
      </c>
      <c r="BG23" s="548">
        <f>BG22/BG21</f>
        <v>0.5</v>
      </c>
      <c r="BH23" s="607"/>
      <c r="BI23" s="548">
        <f>BI22/BI21</f>
        <v>0.3</v>
      </c>
      <c r="BJ23" s="546">
        <f>BJ22/BJ21</f>
        <v>0.33333333333333331</v>
      </c>
      <c r="BK23" s="546">
        <f>BK22/BK21</f>
        <v>0.33333333333333331</v>
      </c>
      <c r="BL23" s="546">
        <f>BL22/BL21</f>
        <v>0</v>
      </c>
      <c r="BM23" s="546">
        <f>BM22/BM21</f>
        <v>0.5</v>
      </c>
      <c r="BN23" s="605"/>
      <c r="BO23" s="539" t="s">
        <v>12</v>
      </c>
      <c r="BP23" s="546">
        <f>BP22/BP21</f>
        <v>0</v>
      </c>
      <c r="BQ23" s="547">
        <f>BQ22/BQ21</f>
        <v>0</v>
      </c>
      <c r="BR23" s="547">
        <f>BR22/BR21</f>
        <v>0</v>
      </c>
      <c r="BS23" s="547">
        <f>BS22/BS21</f>
        <v>0.5</v>
      </c>
      <c r="BT23" s="548">
        <f>BT22/BT21</f>
        <v>9.0909090909090912E-2</v>
      </c>
      <c r="BU23" s="607"/>
      <c r="BV23" s="548">
        <f>BV22/BV21</f>
        <v>0.18181818181818182</v>
      </c>
      <c r="BW23" s="546">
        <f>BW22/BW21</f>
        <v>0.33333333333333331</v>
      </c>
      <c r="BX23" s="546">
        <f>BX22/BX21</f>
        <v>0</v>
      </c>
      <c r="BY23" s="546">
        <f>BY22/BY21</f>
        <v>0</v>
      </c>
      <c r="BZ23" s="546">
        <f>BZ22/BZ21</f>
        <v>0.5</v>
      </c>
      <c r="CA23" s="605"/>
    </row>
    <row r="24" spans="1:79" ht="15">
      <c r="A24" s="1537"/>
      <c r="B24" s="61"/>
      <c r="C24" s="82"/>
      <c r="D24" s="82"/>
      <c r="E24" s="82"/>
      <c r="F24" s="82"/>
      <c r="G24" s="83"/>
      <c r="H24" s="248"/>
      <c r="I24" s="83"/>
      <c r="J24" s="82"/>
      <c r="K24" s="76"/>
      <c r="L24" s="76"/>
      <c r="M24" s="78"/>
      <c r="N24" s="248"/>
      <c r="O24" s="64" t="s">
        <v>5</v>
      </c>
      <c r="P24" s="79">
        <f>P20/P21</f>
        <v>10</v>
      </c>
      <c r="Q24" s="80">
        <f>Q20/Q21</f>
        <v>0</v>
      </c>
      <c r="R24" s="79">
        <f>R20/R21</f>
        <v>7</v>
      </c>
      <c r="S24" s="79">
        <f>S20/S21</f>
        <v>8</v>
      </c>
      <c r="T24" s="81">
        <f>T20/T21</f>
        <v>6.25</v>
      </c>
      <c r="U24" s="251"/>
      <c r="V24" s="81">
        <f>V20/V21</f>
        <v>4.8571428571428568</v>
      </c>
      <c r="W24" s="79">
        <f>W20/W21</f>
        <v>4.5</v>
      </c>
      <c r="X24" s="79">
        <f>X20/X21</f>
        <v>4.5</v>
      </c>
      <c r="Y24" s="79">
        <f>Y20/Y21</f>
        <v>7</v>
      </c>
      <c r="Z24" s="79">
        <f>Z20/Z21</f>
        <v>2</v>
      </c>
      <c r="AA24" s="248"/>
      <c r="AB24" s="64" t="s">
        <v>5</v>
      </c>
      <c r="AC24" s="79">
        <f>AC20/AC21</f>
        <v>7.25</v>
      </c>
      <c r="AD24" s="79">
        <f>AD20/AD21</f>
        <v>-2.25</v>
      </c>
      <c r="AE24" s="79">
        <f>AE20/AE21</f>
        <v>4.333333333333333</v>
      </c>
      <c r="AF24" s="79">
        <f>AF20/AF21</f>
        <v>5.666666666666667</v>
      </c>
      <c r="AG24" s="81">
        <f>AG20/AG21</f>
        <v>3.5714285714285716</v>
      </c>
      <c r="AH24" s="251"/>
      <c r="AI24" s="81">
        <f>AI20/AI21</f>
        <v>3.4615384615384617</v>
      </c>
      <c r="AJ24" s="79">
        <f>AJ20/AJ21</f>
        <v>2</v>
      </c>
      <c r="AK24" s="79">
        <f>AK20/AK21</f>
        <v>4</v>
      </c>
      <c r="AL24" s="79">
        <f>AL20/AL21</f>
        <v>5.333333333333333</v>
      </c>
      <c r="AM24" s="80">
        <f>AM20/AM21</f>
        <v>3</v>
      </c>
      <c r="AN24" s="248"/>
      <c r="AO24" s="64" t="s">
        <v>5</v>
      </c>
      <c r="AP24" s="79">
        <f>AP20/AP21</f>
        <v>5</v>
      </c>
      <c r="AQ24" s="80">
        <f>AQ20/AQ21</f>
        <v>5</v>
      </c>
      <c r="AR24" s="80">
        <f>AR20/AR21</f>
        <v>4.5</v>
      </c>
      <c r="AS24" s="79">
        <f>AS20/AS21</f>
        <v>8</v>
      </c>
      <c r="AT24" s="81">
        <f>AT20/AT21</f>
        <v>5.5555555555555554</v>
      </c>
      <c r="AU24" s="251"/>
      <c r="AV24" s="81">
        <f>AV20/AV21</f>
        <v>5</v>
      </c>
      <c r="AW24" s="79">
        <f>AW20/AW21</f>
        <v>1</v>
      </c>
      <c r="AX24" s="79">
        <f>AX20/AX21</f>
        <v>8</v>
      </c>
      <c r="AY24" s="79">
        <f>AY20/AY21</f>
        <v>8.5</v>
      </c>
      <c r="AZ24" s="79">
        <f>AZ20/AZ21</f>
        <v>2.5</v>
      </c>
      <c r="BA24" s="249"/>
      <c r="BB24" s="539" t="s">
        <v>5</v>
      </c>
      <c r="BC24" s="553">
        <f>BC20/BC21</f>
        <v>3.3333333333333335</v>
      </c>
      <c r="BD24" s="554">
        <f>BD20/BD21</f>
        <v>7</v>
      </c>
      <c r="BE24" s="554">
        <f>BE20/BE21</f>
        <v>0</v>
      </c>
      <c r="BF24" s="553">
        <f>BF20/BF21</f>
        <v>0</v>
      </c>
      <c r="BG24" s="555">
        <f>BG20/BG21</f>
        <v>3.1</v>
      </c>
      <c r="BH24" s="607"/>
      <c r="BI24" s="555">
        <f>BI20/BI21</f>
        <v>5</v>
      </c>
      <c r="BJ24" s="553">
        <f>BJ20/BJ21</f>
        <v>5.333333333333333</v>
      </c>
      <c r="BK24" s="553">
        <f>BK20/BK21</f>
        <v>4.666666666666667</v>
      </c>
      <c r="BL24" s="553">
        <f>BL20/BL21</f>
        <v>8</v>
      </c>
      <c r="BM24" s="553">
        <f>BM20/BM21</f>
        <v>2</v>
      </c>
      <c r="BN24" s="605"/>
      <c r="BO24" s="539" t="s">
        <v>5</v>
      </c>
      <c r="BP24" s="553">
        <f>BP20/BP21</f>
        <v>1</v>
      </c>
      <c r="BQ24" s="554">
        <f>BQ20/BQ21</f>
        <v>7.333333333333333</v>
      </c>
      <c r="BR24" s="554">
        <f>BR20/BR21</f>
        <v>4.666666666666667</v>
      </c>
      <c r="BS24" s="553">
        <f>BS20/BS21</f>
        <v>3</v>
      </c>
      <c r="BT24" s="555">
        <f>BT20/BT21</f>
        <v>4.0909090909090908</v>
      </c>
      <c r="BU24" s="607"/>
      <c r="BV24" s="555">
        <f>BV20/BV21</f>
        <v>4.5454545454545459</v>
      </c>
      <c r="BW24" s="553">
        <f>BW20/BW21</f>
        <v>2.6666666666666665</v>
      </c>
      <c r="BX24" s="553">
        <f>BX20/BX21</f>
        <v>3</v>
      </c>
      <c r="BY24" s="553">
        <f>BY20/BY21</f>
        <v>8</v>
      </c>
      <c r="BZ24" s="553">
        <f>BZ20/BZ21</f>
        <v>4.5</v>
      </c>
      <c r="CA24" s="605"/>
    </row>
    <row r="25" spans="1:79" ht="15">
      <c r="A25" s="1537"/>
      <c r="B25" s="50"/>
      <c r="C25" s="34"/>
      <c r="D25" s="250"/>
      <c r="E25" s="250"/>
      <c r="F25" s="34"/>
      <c r="G25" s="250"/>
      <c r="H25" s="248"/>
      <c r="I25" s="248"/>
      <c r="J25" s="248"/>
      <c r="K25" s="248"/>
      <c r="L25" s="248"/>
      <c r="M25" s="248"/>
      <c r="N25" s="248"/>
      <c r="O25" s="64" t="s">
        <v>8</v>
      </c>
      <c r="P25" s="79">
        <f>P20/(P21-P22)</f>
        <v>10</v>
      </c>
      <c r="Q25" s="671">
        <v>0</v>
      </c>
      <c r="R25" s="84">
        <f>R20/(R21-R22)</f>
        <v>7</v>
      </c>
      <c r="S25" s="84">
        <f>S20/(S21-S22)</f>
        <v>8</v>
      </c>
      <c r="T25" s="85">
        <f>T20/(T21-T22)</f>
        <v>8.3333333333333339</v>
      </c>
      <c r="U25" s="251"/>
      <c r="V25" s="85">
        <f>V20/(V21-V22)</f>
        <v>5.666666666666667</v>
      </c>
      <c r="W25" s="84">
        <f>W20/(W21-W22)</f>
        <v>9</v>
      </c>
      <c r="X25" s="84">
        <f>X20/(X21-X22)</f>
        <v>4.5</v>
      </c>
      <c r="Y25" s="84">
        <f>Y20/(Y21-Y22)</f>
        <v>7</v>
      </c>
      <c r="Z25" s="84">
        <f>Z20/(Z21-Z22)</f>
        <v>2</v>
      </c>
      <c r="AA25" s="248"/>
      <c r="AB25" s="64" t="s">
        <v>8</v>
      </c>
      <c r="AC25" s="84">
        <f>AC20/(AC21-AC22)</f>
        <v>7.25</v>
      </c>
      <c r="AD25" s="84">
        <f>AD20/(AD21-AD22)</f>
        <v>-3</v>
      </c>
      <c r="AE25" s="84">
        <f>AE20/(AE21-AE22)</f>
        <v>4.333333333333333</v>
      </c>
      <c r="AF25" s="84">
        <f>AF20/(AF21-AF22)</f>
        <v>8.5</v>
      </c>
      <c r="AG25" s="85">
        <f>AG20/(AG21-AG22)</f>
        <v>4.166666666666667</v>
      </c>
      <c r="AH25" s="251"/>
      <c r="AI25" s="85">
        <f>AI20/(AI21-AI22)</f>
        <v>5</v>
      </c>
      <c r="AJ25" s="84">
        <f>AJ20/(AJ21-AJ22)</f>
        <v>4</v>
      </c>
      <c r="AK25" s="79">
        <f>AK20/(AK21-AK22)</f>
        <v>4</v>
      </c>
      <c r="AL25" s="79">
        <f>AL20/(AL21-AL22)</f>
        <v>8</v>
      </c>
      <c r="AM25" s="80">
        <f>AM20/(AM21-AM22)</f>
        <v>4.5</v>
      </c>
      <c r="AN25" s="248"/>
      <c r="AO25" s="64" t="s">
        <v>8</v>
      </c>
      <c r="AP25" s="79">
        <f>AP20/(AP21-AP22)</f>
        <v>7.5</v>
      </c>
      <c r="AQ25" s="80">
        <f>AQ20/(AQ21-AQ22)</f>
        <v>5</v>
      </c>
      <c r="AR25" s="80">
        <f>AR20/(AR21-AR22)</f>
        <v>4.5</v>
      </c>
      <c r="AS25" s="84">
        <f>AS20/(AS21-AS22)</f>
        <v>8</v>
      </c>
      <c r="AT25" s="85">
        <f>AT20/(AT21-AT22)</f>
        <v>6.25</v>
      </c>
      <c r="AU25" s="251"/>
      <c r="AV25" s="85">
        <f>AV20/(AV21-AV22)</f>
        <v>5.7142857142857144</v>
      </c>
      <c r="AW25" s="84">
        <f>AW20/(AW21-AW22)</f>
        <v>2</v>
      </c>
      <c r="AX25" s="84">
        <f>AX20/(AX21-AX22)</f>
        <v>8</v>
      </c>
      <c r="AY25" s="84">
        <f>AY20/(AY21-AY22)</f>
        <v>8.5</v>
      </c>
      <c r="AZ25" s="84">
        <f>AZ20/(AZ21-AZ22)</f>
        <v>2.5</v>
      </c>
      <c r="BA25" s="249"/>
      <c r="BB25" s="539" t="s">
        <v>8</v>
      </c>
      <c r="BC25" s="553">
        <f>BC20/(BC21-BC22)</f>
        <v>5</v>
      </c>
      <c r="BD25" s="554">
        <f>BD20/(BD21-BD22)</f>
        <v>7</v>
      </c>
      <c r="BE25" s="671">
        <v>0</v>
      </c>
      <c r="BF25" s="660">
        <v>0</v>
      </c>
      <c r="BG25" s="559">
        <f>BG20/(BG21-BG22)</f>
        <v>6.2</v>
      </c>
      <c r="BH25" s="607"/>
      <c r="BI25" s="559">
        <f>BI20/(BI21-BI22)</f>
        <v>7.1428571428571432</v>
      </c>
      <c r="BJ25" s="558">
        <f>BJ20/(BJ21-BJ22)</f>
        <v>8</v>
      </c>
      <c r="BK25" s="558">
        <f>BK20/(BK21-BK22)</f>
        <v>7</v>
      </c>
      <c r="BL25" s="558">
        <f>BL20/(BL21-BL22)</f>
        <v>8</v>
      </c>
      <c r="BM25" s="558">
        <f>BM20/(BM21-BM22)</f>
        <v>4</v>
      </c>
      <c r="BN25" s="605"/>
      <c r="BO25" s="539" t="s">
        <v>8</v>
      </c>
      <c r="BP25" s="553">
        <f>BP20/(BP21-BP22)</f>
        <v>1</v>
      </c>
      <c r="BQ25" s="554">
        <f>BQ20/(BQ21-BQ22)</f>
        <v>7.333333333333333</v>
      </c>
      <c r="BR25" s="554">
        <f>BR20/(BR21-BR22)</f>
        <v>4.666666666666667</v>
      </c>
      <c r="BS25" s="558">
        <f>BS20/(BS21-BS22)</f>
        <v>6</v>
      </c>
      <c r="BT25" s="559">
        <f>BT20/(BT21-BT22)</f>
        <v>4.5</v>
      </c>
      <c r="BU25" s="607"/>
      <c r="BV25" s="559">
        <f>BV20/(BV21-BV22)</f>
        <v>5.5555555555555554</v>
      </c>
      <c r="BW25" s="558">
        <f>BW20/(BW21-BW22)</f>
        <v>4</v>
      </c>
      <c r="BX25" s="558">
        <f>BX20/(BX21-BX22)</f>
        <v>3</v>
      </c>
      <c r="BY25" s="558">
        <f>BY20/(BY21-BY22)</f>
        <v>8</v>
      </c>
      <c r="BZ25" s="558">
        <f>BZ20/(BZ21-BZ22)</f>
        <v>9</v>
      </c>
      <c r="CA25" s="605"/>
    </row>
    <row r="26" spans="1:79" ht="15">
      <c r="A26" s="261"/>
      <c r="B26" s="50"/>
      <c r="C26" s="34"/>
      <c r="D26" s="250"/>
      <c r="E26" s="250"/>
      <c r="F26" s="34"/>
      <c r="G26" s="250"/>
      <c r="H26" s="248"/>
      <c r="I26" s="248"/>
      <c r="J26" s="248"/>
      <c r="K26" s="248"/>
      <c r="L26" s="248"/>
      <c r="M26" s="248"/>
      <c r="N26" s="248"/>
      <c r="O26" s="50"/>
      <c r="P26" s="34"/>
      <c r="Q26" s="250"/>
      <c r="R26" s="34"/>
      <c r="S26" s="34"/>
      <c r="T26" s="248"/>
      <c r="U26" s="248"/>
      <c r="V26" s="248"/>
      <c r="W26" s="248"/>
      <c r="X26" s="248"/>
      <c r="Y26" s="248"/>
      <c r="Z26" s="248"/>
      <c r="AA26" s="248"/>
      <c r="AB26" s="248"/>
      <c r="AC26" s="248"/>
      <c r="AD26" s="248"/>
      <c r="AE26" s="248"/>
      <c r="AF26" s="248"/>
      <c r="AG26" s="248"/>
      <c r="AH26" s="248"/>
      <c r="AI26" s="248"/>
      <c r="AJ26" s="248"/>
      <c r="AK26" s="248"/>
      <c r="AL26" s="248"/>
      <c r="AM26" s="248"/>
      <c r="AN26" s="248"/>
      <c r="AO26" s="248"/>
      <c r="AP26" s="248"/>
      <c r="AQ26" s="248"/>
      <c r="AR26" s="248"/>
      <c r="AS26" s="248"/>
      <c r="AT26" s="248"/>
      <c r="AU26" s="248"/>
      <c r="AV26" s="248"/>
      <c r="AW26" s="248"/>
      <c r="AX26" s="248"/>
      <c r="AY26" s="248"/>
      <c r="AZ26" s="248"/>
      <c r="BA26" s="249"/>
      <c r="BB26" s="604"/>
      <c r="BC26" s="604"/>
      <c r="BD26" s="604"/>
      <c r="BE26" s="604"/>
      <c r="BF26" s="604"/>
      <c r="BG26" s="604"/>
      <c r="BH26" s="604"/>
      <c r="BI26" s="604"/>
      <c r="BJ26" s="604"/>
      <c r="BK26" s="604"/>
      <c r="BL26" s="604"/>
      <c r="BM26" s="604"/>
      <c r="BN26" s="605"/>
      <c r="BO26" s="604"/>
      <c r="BP26" s="604"/>
      <c r="BQ26" s="604"/>
      <c r="BR26" s="604"/>
      <c r="BS26" s="604"/>
      <c r="BT26" s="604"/>
      <c r="BU26" s="604"/>
      <c r="BV26" s="604"/>
      <c r="BW26" s="604"/>
      <c r="BX26" s="604"/>
      <c r="BY26" s="604"/>
      <c r="BZ26" s="604"/>
      <c r="CA26" s="605"/>
    </row>
    <row r="27" spans="1:79" ht="15">
      <c r="A27" s="1537" t="s">
        <v>92</v>
      </c>
      <c r="B27" s="40"/>
      <c r="C27" s="1535" t="s">
        <v>92</v>
      </c>
      <c r="D27" s="1535"/>
      <c r="E27" s="1535"/>
      <c r="F27" s="1535"/>
      <c r="G27" s="251"/>
      <c r="H27" s="251"/>
      <c r="I27" s="251"/>
      <c r="J27" s="1536" t="s">
        <v>131</v>
      </c>
      <c r="K27" s="1536"/>
      <c r="L27" s="1536"/>
      <c r="M27" s="1536"/>
      <c r="N27" s="248"/>
      <c r="O27" s="50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51"/>
      <c r="AC27" s="1535" t="s">
        <v>92</v>
      </c>
      <c r="AD27" s="1535"/>
      <c r="AE27" s="1535"/>
      <c r="AF27" s="1535"/>
      <c r="AG27" s="251"/>
      <c r="AH27" s="251"/>
      <c r="AI27" s="251"/>
      <c r="AJ27" s="1539" t="s">
        <v>138</v>
      </c>
      <c r="AK27" s="1539"/>
      <c r="AL27" s="1539"/>
      <c r="AM27" s="1539"/>
      <c r="AN27" s="248"/>
      <c r="AO27" s="251"/>
      <c r="AP27" s="1539" t="s">
        <v>92</v>
      </c>
      <c r="AQ27" s="1539"/>
      <c r="AR27" s="1539"/>
      <c r="AS27" s="1539"/>
      <c r="AT27" s="251"/>
      <c r="AU27" s="251"/>
      <c r="AV27" s="251"/>
      <c r="AW27" s="1535" t="s">
        <v>144</v>
      </c>
      <c r="AX27" s="1535"/>
      <c r="AY27" s="1535"/>
      <c r="AZ27" s="1535"/>
      <c r="BA27" s="249"/>
      <c r="BB27" s="607"/>
      <c r="BC27" s="1539" t="s">
        <v>92</v>
      </c>
      <c r="BD27" s="1539"/>
      <c r="BE27" s="1539"/>
      <c r="BF27" s="1539"/>
      <c r="BG27" s="607"/>
      <c r="BH27" s="607"/>
      <c r="BI27" s="607"/>
      <c r="BJ27" s="1535" t="s">
        <v>145</v>
      </c>
      <c r="BK27" s="1535"/>
      <c r="BL27" s="1535"/>
      <c r="BM27" s="1535"/>
      <c r="BN27" s="605"/>
      <c r="BO27" s="607"/>
      <c r="BP27" s="1539" t="s">
        <v>92</v>
      </c>
      <c r="BQ27" s="1539"/>
      <c r="BR27" s="1539"/>
      <c r="BS27" s="1539"/>
      <c r="BT27" s="607"/>
      <c r="BU27" s="607"/>
      <c r="BV27" s="607"/>
      <c r="BW27" s="1535" t="s">
        <v>146</v>
      </c>
      <c r="BX27" s="1535"/>
      <c r="BY27" s="1535"/>
      <c r="BZ27" s="1535"/>
      <c r="CA27" s="605"/>
    </row>
    <row r="28" spans="1:79" ht="15">
      <c r="A28" s="1537"/>
      <c r="B28" s="40"/>
      <c r="C28" s="92">
        <v>1</v>
      </c>
      <c r="D28" s="93">
        <v>2</v>
      </c>
      <c r="E28" s="94">
        <v>3</v>
      </c>
      <c r="F28" s="245">
        <v>4</v>
      </c>
      <c r="G28" s="41">
        <f>IF(COUNTIF(G30:G42,"&gt;37")=0,0,COUNTIF(G30:G42,"&gt;37")-1)</f>
        <v>2</v>
      </c>
      <c r="H28" s="251"/>
      <c r="I28" s="41">
        <f>IF(COUNTIF(I30:I42,"&gt;37")=0,0,COUNTIF(I30:I42,"&gt;37")-1)</f>
        <v>3</v>
      </c>
      <c r="J28" s="86">
        <v>1</v>
      </c>
      <c r="K28" s="87">
        <v>2</v>
      </c>
      <c r="L28" s="88">
        <v>3</v>
      </c>
      <c r="M28" s="246">
        <v>4</v>
      </c>
      <c r="N28" s="248"/>
      <c r="O28" s="50"/>
      <c r="P28" s="34"/>
      <c r="Q28" s="250"/>
      <c r="R28" s="34"/>
      <c r="S28" s="34"/>
      <c r="T28" s="38"/>
      <c r="U28" s="248"/>
      <c r="V28" s="38"/>
      <c r="W28" s="39"/>
      <c r="X28" s="39"/>
      <c r="Y28" s="39"/>
      <c r="Z28" s="39"/>
      <c r="AA28" s="248"/>
      <c r="AB28" s="40"/>
      <c r="AC28" s="568">
        <v>1</v>
      </c>
      <c r="AD28" s="569">
        <v>2</v>
      </c>
      <c r="AE28" s="570">
        <v>3</v>
      </c>
      <c r="AF28" s="645">
        <v>4</v>
      </c>
      <c r="AG28" s="41">
        <f>IF(COUNTIF(AG30:AG42,"&gt;37")=0,0,COUNTIF(AG30:AG42,"&gt;37")-1)</f>
        <v>0</v>
      </c>
      <c r="AH28" s="251"/>
      <c r="AI28" s="41">
        <f>IF(COUNTIF(AI30:AI42,"&gt;37")=0,0,COUNTIF(AI30:AI42,"&gt;37")-1)</f>
        <v>1</v>
      </c>
      <c r="AJ28" s="619">
        <v>1</v>
      </c>
      <c r="AK28" s="620">
        <v>2</v>
      </c>
      <c r="AL28" s="621">
        <v>3</v>
      </c>
      <c r="AM28" s="647">
        <v>4</v>
      </c>
      <c r="AN28" s="248"/>
      <c r="AO28" s="40"/>
      <c r="AP28" s="263">
        <v>1</v>
      </c>
      <c r="AQ28" s="264">
        <v>2</v>
      </c>
      <c r="AR28" s="265">
        <v>3</v>
      </c>
      <c r="AS28" s="266">
        <v>4</v>
      </c>
      <c r="AT28" s="41">
        <f>IF(COUNTIF(AT30:AT42,"&gt;37")=0,0,COUNTIF(AT30:AT42,"&gt;37")-1)</f>
        <v>1</v>
      </c>
      <c r="AU28" s="251"/>
      <c r="AV28" s="41">
        <f>IF(COUNTIF(AV30:AV42,"&gt;37")=0,0,COUNTIF(AV30:AV42,"&gt;37")-1)</f>
        <v>0</v>
      </c>
      <c r="AW28" s="92">
        <v>1</v>
      </c>
      <c r="AX28" s="93">
        <v>2</v>
      </c>
      <c r="AY28" s="94">
        <v>3</v>
      </c>
      <c r="AZ28" s="245">
        <v>4</v>
      </c>
      <c r="BA28" s="249"/>
      <c r="BB28" s="522"/>
      <c r="BC28" s="619">
        <v>1</v>
      </c>
      <c r="BD28" s="620">
        <v>2</v>
      </c>
      <c r="BE28" s="621">
        <v>3</v>
      </c>
      <c r="BF28" s="622">
        <v>4</v>
      </c>
      <c r="BG28" s="523">
        <f>IF(COUNTIF(BG30:BG42,"&gt;37")=0,0,COUNTIF(BG30:BG42,"&gt;37")-1)</f>
        <v>0</v>
      </c>
      <c r="BH28" s="607"/>
      <c r="BI28" s="523">
        <f>IF(COUNTIF(BI30:BI42,"&gt;37")=0,0,COUNTIF(BI30:BI42,"&gt;37")-1)</f>
        <v>0</v>
      </c>
      <c r="BJ28" s="568">
        <v>1</v>
      </c>
      <c r="BK28" s="569">
        <v>2</v>
      </c>
      <c r="BL28" s="570">
        <v>3</v>
      </c>
      <c r="BM28" s="603">
        <v>4</v>
      </c>
      <c r="BN28" s="605"/>
      <c r="BO28" s="522"/>
      <c r="BP28" s="619">
        <v>1</v>
      </c>
      <c r="BQ28" s="620">
        <v>2</v>
      </c>
      <c r="BR28" s="621">
        <v>3</v>
      </c>
      <c r="BS28" s="622">
        <v>4</v>
      </c>
      <c r="BT28" s="523">
        <f>IF(COUNTIF(BT30:BT42,"&gt;37")=0,0,COUNTIF(BT30:BT42,"&gt;37")-1)</f>
        <v>2</v>
      </c>
      <c r="BU28" s="607"/>
      <c r="BV28" s="486">
        <v>3</v>
      </c>
      <c r="BW28" s="568">
        <v>1</v>
      </c>
      <c r="BX28" s="569">
        <v>2</v>
      </c>
      <c r="BY28" s="570">
        <v>3</v>
      </c>
      <c r="BZ28" s="603">
        <v>4</v>
      </c>
      <c r="CA28" s="605"/>
    </row>
    <row r="29" spans="1:79" ht="48">
      <c r="A29" s="1537"/>
      <c r="B29" s="40"/>
      <c r="C29" s="95" t="s">
        <v>95</v>
      </c>
      <c r="D29" s="95" t="s">
        <v>94</v>
      </c>
      <c r="E29" s="95" t="s">
        <v>93</v>
      </c>
      <c r="F29" s="95" t="s">
        <v>168</v>
      </c>
      <c r="G29" s="49"/>
      <c r="H29" s="254"/>
      <c r="I29" s="255"/>
      <c r="J29" s="527" t="s">
        <v>134</v>
      </c>
      <c r="K29" s="527" t="s">
        <v>9</v>
      </c>
      <c r="L29" s="527" t="s">
        <v>132</v>
      </c>
      <c r="M29" s="527" t="s">
        <v>133</v>
      </c>
      <c r="N29" s="252"/>
      <c r="O29" s="50"/>
      <c r="P29" s="34"/>
      <c r="Q29" s="250"/>
      <c r="R29" s="34"/>
      <c r="S29" s="34"/>
      <c r="T29" s="252"/>
      <c r="U29" s="252"/>
      <c r="V29" s="252"/>
      <c r="W29" s="46"/>
      <c r="X29" s="45"/>
      <c r="Y29" s="45"/>
      <c r="Z29" s="253"/>
      <c r="AA29" s="252"/>
      <c r="AB29" s="47"/>
      <c r="AC29" s="571" t="s">
        <v>94</v>
      </c>
      <c r="AD29" s="571" t="s">
        <v>93</v>
      </c>
      <c r="AE29" s="571" t="s">
        <v>168</v>
      </c>
      <c r="AF29" s="571" t="s">
        <v>96</v>
      </c>
      <c r="AG29" s="49"/>
      <c r="AH29" s="254"/>
      <c r="AI29" s="255"/>
      <c r="AJ29" s="623" t="s">
        <v>139</v>
      </c>
      <c r="AK29" s="623" t="s">
        <v>140</v>
      </c>
      <c r="AL29" s="623" t="s">
        <v>141</v>
      </c>
      <c r="AM29" s="623" t="s">
        <v>142</v>
      </c>
      <c r="AN29" s="252"/>
      <c r="AO29" s="47"/>
      <c r="AP29" s="267" t="s">
        <v>93</v>
      </c>
      <c r="AQ29" s="267" t="s">
        <v>168</v>
      </c>
      <c r="AR29" s="267" t="s">
        <v>95</v>
      </c>
      <c r="AS29" s="267" t="s">
        <v>96</v>
      </c>
      <c r="AT29" s="49"/>
      <c r="AU29" s="254"/>
      <c r="AV29" s="255"/>
      <c r="AW29" s="571" t="s">
        <v>135</v>
      </c>
      <c r="AX29" s="571" t="s">
        <v>132</v>
      </c>
      <c r="AY29" s="95" t="s">
        <v>170</v>
      </c>
      <c r="AZ29" s="571" t="s">
        <v>53</v>
      </c>
      <c r="BA29" s="249"/>
      <c r="BB29" s="526"/>
      <c r="BC29" s="623" t="s">
        <v>96</v>
      </c>
      <c r="BD29" s="623" t="s">
        <v>95</v>
      </c>
      <c r="BE29" s="623" t="s">
        <v>94</v>
      </c>
      <c r="BF29" s="623" t="s">
        <v>171</v>
      </c>
      <c r="BG29" s="528"/>
      <c r="BH29" s="610"/>
      <c r="BI29" s="611"/>
      <c r="BJ29" s="571" t="s">
        <v>172</v>
      </c>
      <c r="BK29" s="571" t="s">
        <v>101</v>
      </c>
      <c r="BL29" s="571" t="s">
        <v>169</v>
      </c>
      <c r="BM29" s="571" t="s">
        <v>164</v>
      </c>
      <c r="BN29" s="605"/>
      <c r="BO29" s="526"/>
      <c r="BP29" s="623" t="s">
        <v>95</v>
      </c>
      <c r="BQ29" s="623" t="s">
        <v>168</v>
      </c>
      <c r="BR29" s="623" t="s">
        <v>94</v>
      </c>
      <c r="BS29" s="623" t="s">
        <v>96</v>
      </c>
      <c r="BT29" s="528"/>
      <c r="BU29" s="610"/>
      <c r="BV29" s="611"/>
      <c r="BW29" s="571" t="s">
        <v>164</v>
      </c>
      <c r="BX29" s="571" t="s">
        <v>165</v>
      </c>
      <c r="BY29" s="571" t="s">
        <v>166</v>
      </c>
      <c r="BZ29" s="571" t="s">
        <v>167</v>
      </c>
      <c r="CA29" s="605"/>
    </row>
    <row r="30" spans="1:79" ht="15">
      <c r="A30" s="1537"/>
      <c r="B30" s="51">
        <v>1</v>
      </c>
      <c r="C30" s="52">
        <v>10</v>
      </c>
      <c r="D30" s="53"/>
      <c r="E30" s="53"/>
      <c r="F30" s="173"/>
      <c r="G30" s="257">
        <f>SUM(C$30:F30)</f>
        <v>10</v>
      </c>
      <c r="H30" s="258">
        <f>G30-I30</f>
        <v>2</v>
      </c>
      <c r="I30" s="259">
        <f>SUM(J$30:M30)</f>
        <v>8</v>
      </c>
      <c r="J30" s="52">
        <v>8</v>
      </c>
      <c r="K30" s="53"/>
      <c r="L30" s="53"/>
      <c r="M30" s="173"/>
      <c r="N30" s="248"/>
      <c r="O30" s="50"/>
      <c r="P30" s="34"/>
      <c r="Q30" s="250"/>
      <c r="R30" s="34"/>
      <c r="S30" s="34"/>
      <c r="T30" s="256"/>
      <c r="U30" s="248"/>
      <c r="V30" s="256"/>
      <c r="W30" s="38"/>
      <c r="X30" s="34"/>
      <c r="Y30" s="34"/>
      <c r="Z30" s="34"/>
      <c r="AA30" s="248"/>
      <c r="AB30" s="51">
        <v>1</v>
      </c>
      <c r="AC30" s="52">
        <v>3</v>
      </c>
      <c r="AD30" s="53"/>
      <c r="AE30" s="53"/>
      <c r="AF30" s="53"/>
      <c r="AG30" s="257">
        <f>SUM(AC$30:AF30)</f>
        <v>3</v>
      </c>
      <c r="AH30" s="258">
        <f t="shared" ref="AH30:AH35" si="6">AG30-AI30</f>
        <v>-7</v>
      </c>
      <c r="AI30" s="259">
        <f>SUM(AJ$30:AM30)</f>
        <v>10</v>
      </c>
      <c r="AJ30" s="52">
        <v>10</v>
      </c>
      <c r="AK30" s="53"/>
      <c r="AL30" s="53"/>
      <c r="AM30" s="53"/>
      <c r="AN30" s="248"/>
      <c r="AO30" s="51">
        <v>1</v>
      </c>
      <c r="AP30" s="52">
        <v>9</v>
      </c>
      <c r="AQ30" s="53"/>
      <c r="AR30" s="53"/>
      <c r="AS30" s="53"/>
      <c r="AT30" s="257">
        <f>SUM(AP$30:AS30)</f>
        <v>9</v>
      </c>
      <c r="AU30" s="258">
        <f>AT30-AV30</f>
        <v>1</v>
      </c>
      <c r="AV30" s="259">
        <f>SUM(AW$30:AZ30)</f>
        <v>8</v>
      </c>
      <c r="AW30" s="52">
        <v>8</v>
      </c>
      <c r="AX30" s="53"/>
      <c r="AY30" s="53"/>
      <c r="AZ30" s="53"/>
      <c r="BA30" s="249"/>
      <c r="BB30" s="530">
        <v>1</v>
      </c>
      <c r="BC30" s="531">
        <v>4</v>
      </c>
      <c r="BD30" s="532"/>
      <c r="BE30" s="532"/>
      <c r="BF30" s="532"/>
      <c r="BG30" s="613">
        <f>SUM(BC$30:BF30)</f>
        <v>4</v>
      </c>
      <c r="BH30" s="614">
        <f t="shared" ref="BH30:BH35" si="7">BG30-BI30</f>
        <v>-4</v>
      </c>
      <c r="BI30" s="615">
        <f>SUM(BJ$30:BM30)</f>
        <v>8</v>
      </c>
      <c r="BJ30" s="531">
        <v>8</v>
      </c>
      <c r="BK30" s="532"/>
      <c r="BL30" s="532"/>
      <c r="BM30" s="532"/>
      <c r="BN30" s="605"/>
      <c r="BO30" s="530">
        <v>1</v>
      </c>
      <c r="BP30" s="531" t="s">
        <v>2</v>
      </c>
      <c r="BQ30" s="532"/>
      <c r="BR30" s="532"/>
      <c r="BS30" s="532"/>
      <c r="BT30" s="613">
        <f>SUM(BP$30:BS30)</f>
        <v>0</v>
      </c>
      <c r="BU30" s="614">
        <f>BT30-BV30</f>
        <v>-12</v>
      </c>
      <c r="BV30" s="615">
        <f>SUM(BW$30:BZ30)</f>
        <v>12</v>
      </c>
      <c r="BW30" s="531">
        <v>12</v>
      </c>
      <c r="BX30" s="532"/>
      <c r="BY30" s="532"/>
      <c r="BZ30" s="532"/>
      <c r="CA30" s="605"/>
    </row>
    <row r="31" spans="1:79" ht="15">
      <c r="A31" s="1537"/>
      <c r="B31" s="56">
        <v>2</v>
      </c>
      <c r="C31" s="53"/>
      <c r="D31" s="52">
        <v>9</v>
      </c>
      <c r="E31" s="53"/>
      <c r="F31" s="53"/>
      <c r="G31" s="257">
        <f>SUM(C$30:F31)</f>
        <v>19</v>
      </c>
      <c r="H31" s="258">
        <f t="shared" ref="H31:H37" si="8">G31-I31</f>
        <v>2</v>
      </c>
      <c r="I31" s="259">
        <f>SUM(J$30:M31)</f>
        <v>17</v>
      </c>
      <c r="J31" s="53"/>
      <c r="K31" s="52">
        <v>9</v>
      </c>
      <c r="L31" s="53"/>
      <c r="M31" s="53"/>
      <c r="N31" s="248"/>
      <c r="O31" s="50"/>
      <c r="P31" s="34"/>
      <c r="Q31" s="250"/>
      <c r="R31" s="34"/>
      <c r="S31" s="34"/>
      <c r="T31" s="256"/>
      <c r="U31" s="248"/>
      <c r="V31" s="256"/>
      <c r="W31" s="34"/>
      <c r="X31" s="38"/>
      <c r="Y31" s="38"/>
      <c r="Z31" s="34"/>
      <c r="AA31" s="248"/>
      <c r="AB31" s="56">
        <v>2</v>
      </c>
      <c r="AC31" s="53"/>
      <c r="AD31" s="52">
        <v>7</v>
      </c>
      <c r="AE31" s="52"/>
      <c r="AF31" s="53"/>
      <c r="AG31" s="257">
        <f>SUM(AC$30:AF31)</f>
        <v>10</v>
      </c>
      <c r="AH31" s="258">
        <f t="shared" si="6"/>
        <v>-10</v>
      </c>
      <c r="AI31" s="259">
        <f>SUM(AJ$30:AM31)</f>
        <v>20</v>
      </c>
      <c r="AJ31" s="53"/>
      <c r="AK31" s="52">
        <v>10</v>
      </c>
      <c r="AL31" s="52"/>
      <c r="AM31" s="53"/>
      <c r="AN31" s="248"/>
      <c r="AO31" s="56">
        <v>2</v>
      </c>
      <c r="AP31" s="53"/>
      <c r="AQ31" s="52">
        <v>8</v>
      </c>
      <c r="AR31" s="52"/>
      <c r="AS31" s="53"/>
      <c r="AT31" s="257">
        <f>SUM(AP$30:AS31)</f>
        <v>17</v>
      </c>
      <c r="AU31" s="258">
        <f t="shared" ref="AU31:AU36" si="9">AT31-AV31</f>
        <v>1</v>
      </c>
      <c r="AV31" s="259">
        <f>SUM(AW$30:AZ31)</f>
        <v>16</v>
      </c>
      <c r="AW31" s="53"/>
      <c r="AX31" s="52">
        <v>8</v>
      </c>
      <c r="AY31" s="52"/>
      <c r="AZ31" s="53"/>
      <c r="BA31" s="249"/>
      <c r="BB31" s="533">
        <v>2</v>
      </c>
      <c r="BC31" s="532"/>
      <c r="BD31" s="531">
        <v>7</v>
      </c>
      <c r="BE31" s="531"/>
      <c r="BF31" s="532"/>
      <c r="BG31" s="613">
        <f>SUM(BC$30:BF31)</f>
        <v>11</v>
      </c>
      <c r="BH31" s="614">
        <f t="shared" si="7"/>
        <v>1</v>
      </c>
      <c r="BI31" s="615">
        <f>SUM(BJ$30:BM31)</f>
        <v>10</v>
      </c>
      <c r="BJ31" s="532"/>
      <c r="BK31" s="531">
        <v>2</v>
      </c>
      <c r="BL31" s="531"/>
      <c r="BM31" s="532"/>
      <c r="BN31" s="605"/>
      <c r="BO31" s="533">
        <v>2</v>
      </c>
      <c r="BP31" s="532"/>
      <c r="BQ31" s="531" t="s">
        <v>2</v>
      </c>
      <c r="BR31" s="531"/>
      <c r="BS31" s="532"/>
      <c r="BT31" s="613">
        <f>SUM(BP$30:BS31)</f>
        <v>0</v>
      </c>
      <c r="BU31" s="614">
        <f t="shared" ref="BU31:BU37" si="10">BT31-BV31</f>
        <v>-12</v>
      </c>
      <c r="BV31" s="615">
        <f>SUM(BW$30:BZ31)</f>
        <v>12</v>
      </c>
      <c r="BW31" s="532"/>
      <c r="BX31" s="531" t="s">
        <v>2</v>
      </c>
      <c r="BY31" s="531"/>
      <c r="BZ31" s="532"/>
      <c r="CA31" s="605"/>
    </row>
    <row r="32" spans="1:79" ht="15">
      <c r="A32" s="1537"/>
      <c r="B32" s="56">
        <v>3</v>
      </c>
      <c r="C32" s="52"/>
      <c r="D32" s="53"/>
      <c r="E32" s="53" t="s">
        <v>2</v>
      </c>
      <c r="F32" s="173"/>
      <c r="G32" s="257">
        <f>SUM(C$30:F32)</f>
        <v>19</v>
      </c>
      <c r="H32" s="258">
        <f t="shared" si="8"/>
        <v>2</v>
      </c>
      <c r="I32" s="259">
        <f>SUM(J$30:M32)</f>
        <v>17</v>
      </c>
      <c r="J32" s="52"/>
      <c r="K32" s="53"/>
      <c r="L32" s="53" t="s">
        <v>2</v>
      </c>
      <c r="M32" s="173"/>
      <c r="N32" s="248"/>
      <c r="O32" s="50"/>
      <c r="P32" s="34"/>
      <c r="Q32" s="250"/>
      <c r="R32" s="34"/>
      <c r="S32" s="34"/>
      <c r="T32" s="256"/>
      <c r="U32" s="248"/>
      <c r="V32" s="256"/>
      <c r="W32" s="38"/>
      <c r="X32" s="34"/>
      <c r="Y32" s="34"/>
      <c r="Z32" s="34"/>
      <c r="AA32" s="248"/>
      <c r="AB32" s="56">
        <v>3</v>
      </c>
      <c r="AC32" s="52"/>
      <c r="AD32" s="53"/>
      <c r="AE32" s="53">
        <v>3</v>
      </c>
      <c r="AF32" s="53"/>
      <c r="AG32" s="257">
        <f>SUM(AC$30:AF32)</f>
        <v>13</v>
      </c>
      <c r="AH32" s="258">
        <f t="shared" si="6"/>
        <v>-13</v>
      </c>
      <c r="AI32" s="259">
        <f>SUM(AJ$30:AM32)</f>
        <v>26</v>
      </c>
      <c r="AJ32" s="52"/>
      <c r="AK32" s="53"/>
      <c r="AL32" s="53">
        <v>6</v>
      </c>
      <c r="AM32" s="53"/>
      <c r="AN32" s="248"/>
      <c r="AO32" s="56">
        <v>3</v>
      </c>
      <c r="AP32" s="52"/>
      <c r="AQ32" s="53"/>
      <c r="AR32" s="53">
        <v>3</v>
      </c>
      <c r="AS32" s="53"/>
      <c r="AT32" s="257">
        <f>SUM(AP$30:AS32)</f>
        <v>20</v>
      </c>
      <c r="AU32" s="258">
        <f t="shared" si="9"/>
        <v>4</v>
      </c>
      <c r="AV32" s="259">
        <f>SUM(AW$30:AZ32)</f>
        <v>16</v>
      </c>
      <c r="AW32" s="52"/>
      <c r="AX32" s="53"/>
      <c r="AY32" s="53" t="s">
        <v>2</v>
      </c>
      <c r="AZ32" s="53"/>
      <c r="BA32" s="249"/>
      <c r="BB32" s="533">
        <v>3</v>
      </c>
      <c r="BC32" s="531"/>
      <c r="BD32" s="532"/>
      <c r="BE32" s="532">
        <v>6</v>
      </c>
      <c r="BF32" s="532"/>
      <c r="BG32" s="613">
        <f>SUM(BC$30:BF32)</f>
        <v>17</v>
      </c>
      <c r="BH32" s="614">
        <f t="shared" si="7"/>
        <v>0</v>
      </c>
      <c r="BI32" s="615">
        <f>SUM(BJ$30:BM32)</f>
        <v>17</v>
      </c>
      <c r="BJ32" s="531"/>
      <c r="BK32" s="532"/>
      <c r="BL32" s="532">
        <v>7</v>
      </c>
      <c r="BM32" s="532"/>
      <c r="BN32" s="605"/>
      <c r="BO32" s="533">
        <v>3</v>
      </c>
      <c r="BP32" s="531"/>
      <c r="BQ32" s="532"/>
      <c r="BR32" s="644">
        <v>5</v>
      </c>
      <c r="BS32" s="532"/>
      <c r="BT32" s="613">
        <f>SUM(BP$30:BS32)</f>
        <v>5</v>
      </c>
      <c r="BU32" s="614">
        <f t="shared" si="10"/>
        <v>-12</v>
      </c>
      <c r="BV32" s="615">
        <f>SUM(BW$30:BZ32)</f>
        <v>17</v>
      </c>
      <c r="BW32" s="531"/>
      <c r="BX32" s="532"/>
      <c r="BY32" s="532">
        <v>5</v>
      </c>
      <c r="BZ32" s="532"/>
      <c r="CA32" s="605"/>
    </row>
    <row r="33" spans="1:79" ht="15">
      <c r="A33" s="1537"/>
      <c r="B33" s="56">
        <v>4</v>
      </c>
      <c r="C33" s="53"/>
      <c r="D33" s="52"/>
      <c r="E33" s="53"/>
      <c r="F33" s="53">
        <v>9</v>
      </c>
      <c r="G33" s="257">
        <f>SUM(C$30:F33)</f>
        <v>28</v>
      </c>
      <c r="H33" s="258">
        <f t="shared" si="8"/>
        <v>2</v>
      </c>
      <c r="I33" s="259">
        <f>SUM(J$30:M33)</f>
        <v>26</v>
      </c>
      <c r="J33" s="53"/>
      <c r="K33" s="52"/>
      <c r="L33" s="53"/>
      <c r="M33" s="53">
        <v>9</v>
      </c>
      <c r="N33" s="248"/>
      <c r="O33" s="50"/>
      <c r="P33" s="34"/>
      <c r="Q33" s="250"/>
      <c r="R33" s="34"/>
      <c r="S33" s="34"/>
      <c r="T33" s="256"/>
      <c r="U33" s="248"/>
      <c r="V33" s="256"/>
      <c r="W33" s="34"/>
      <c r="X33" s="38"/>
      <c r="Y33" s="38"/>
      <c r="Z33" s="34"/>
      <c r="AA33" s="248"/>
      <c r="AB33" s="51">
        <v>4</v>
      </c>
      <c r="AC33" s="53"/>
      <c r="AD33" s="52"/>
      <c r="AE33" s="52"/>
      <c r="AF33" s="53" t="s">
        <v>2</v>
      </c>
      <c r="AG33" s="257">
        <f>SUM(AC$30:AF33)</f>
        <v>13</v>
      </c>
      <c r="AH33" s="258">
        <f t="shared" si="6"/>
        <v>-15</v>
      </c>
      <c r="AI33" s="259">
        <f>SUM(AJ$30:AM33)</f>
        <v>28</v>
      </c>
      <c r="AJ33" s="53"/>
      <c r="AK33" s="52"/>
      <c r="AL33" s="52"/>
      <c r="AM33" s="53">
        <v>2</v>
      </c>
      <c r="AN33" s="248"/>
      <c r="AO33" s="51">
        <v>4</v>
      </c>
      <c r="AP33" s="53"/>
      <c r="AQ33" s="52"/>
      <c r="AR33" s="52"/>
      <c r="AS33" s="53">
        <v>8</v>
      </c>
      <c r="AT33" s="257">
        <f>SUM(AP$30:AS33)</f>
        <v>28</v>
      </c>
      <c r="AU33" s="258">
        <f t="shared" si="9"/>
        <v>6</v>
      </c>
      <c r="AV33" s="259">
        <f>SUM(AW$30:AZ33)</f>
        <v>22</v>
      </c>
      <c r="AW33" s="53"/>
      <c r="AX33" s="52"/>
      <c r="AY33" s="52"/>
      <c r="AZ33" s="53">
        <v>6</v>
      </c>
      <c r="BA33" s="249"/>
      <c r="BB33" s="530">
        <v>4</v>
      </c>
      <c r="BC33" s="532"/>
      <c r="BD33" s="531"/>
      <c r="BE33" s="531"/>
      <c r="BF33" s="532">
        <v>5</v>
      </c>
      <c r="BG33" s="613">
        <f>SUM(BC$30:BF33)</f>
        <v>22</v>
      </c>
      <c r="BH33" s="614">
        <f t="shared" si="7"/>
        <v>5</v>
      </c>
      <c r="BI33" s="615">
        <f>SUM(BJ$30:BM33)</f>
        <v>17</v>
      </c>
      <c r="BJ33" s="532"/>
      <c r="BK33" s="531"/>
      <c r="BL33" s="531"/>
      <c r="BM33" s="532" t="s">
        <v>2</v>
      </c>
      <c r="BN33" s="605"/>
      <c r="BO33" s="530">
        <v>4</v>
      </c>
      <c r="BP33" s="532"/>
      <c r="BQ33" s="531"/>
      <c r="BR33" s="531"/>
      <c r="BS33" s="532">
        <v>8</v>
      </c>
      <c r="BT33" s="613">
        <f>SUM(BP$30:BS33)</f>
        <v>13</v>
      </c>
      <c r="BU33" s="614">
        <f t="shared" si="10"/>
        <v>-7</v>
      </c>
      <c r="BV33" s="615">
        <f>SUM(BW$30:BZ33)</f>
        <v>20</v>
      </c>
      <c r="BW33" s="532"/>
      <c r="BX33" s="531"/>
      <c r="BY33" s="531"/>
      <c r="BZ33" s="532">
        <v>3</v>
      </c>
      <c r="CA33" s="605"/>
    </row>
    <row r="34" spans="1:79" ht="15">
      <c r="A34" s="1537"/>
      <c r="B34" s="56">
        <v>5</v>
      </c>
      <c r="C34" s="52">
        <v>5</v>
      </c>
      <c r="D34" s="53"/>
      <c r="E34" s="53"/>
      <c r="F34" s="173"/>
      <c r="G34" s="257">
        <f>SUM(C$30:F34)</f>
        <v>33</v>
      </c>
      <c r="H34" s="258">
        <f t="shared" si="8"/>
        <v>0</v>
      </c>
      <c r="I34" s="259">
        <f>SUM(J$30:M34)</f>
        <v>33</v>
      </c>
      <c r="J34" s="52">
        <v>7</v>
      </c>
      <c r="K34" s="53"/>
      <c r="L34" s="53"/>
      <c r="M34" s="173"/>
      <c r="N34" s="248"/>
      <c r="O34" s="50"/>
      <c r="P34" s="34"/>
      <c r="Q34" s="250"/>
      <c r="R34" s="34"/>
      <c r="S34" s="34"/>
      <c r="T34" s="256"/>
      <c r="U34" s="248"/>
      <c r="V34" s="256"/>
      <c r="W34" s="38"/>
      <c r="X34" s="34"/>
      <c r="Y34" s="34"/>
      <c r="Z34" s="34"/>
      <c r="AA34" s="248"/>
      <c r="AB34" s="56">
        <v>5</v>
      </c>
      <c r="AC34" s="52">
        <v>9</v>
      </c>
      <c r="AD34" s="53"/>
      <c r="AE34" s="53"/>
      <c r="AF34" s="53"/>
      <c r="AG34" s="257">
        <f>SUM(AC$30:AF34)</f>
        <v>22</v>
      </c>
      <c r="AH34" s="258">
        <f t="shared" si="6"/>
        <v>-17</v>
      </c>
      <c r="AI34" s="259">
        <f>SUM(AJ$30:AM34)</f>
        <v>39</v>
      </c>
      <c r="AJ34" s="53">
        <v>11</v>
      </c>
      <c r="AK34" s="53"/>
      <c r="AL34" s="53"/>
      <c r="AM34" s="53"/>
      <c r="AN34" s="248"/>
      <c r="AO34" s="56">
        <v>5</v>
      </c>
      <c r="AP34" s="52">
        <v>9</v>
      </c>
      <c r="AQ34" s="53"/>
      <c r="AR34" s="53"/>
      <c r="AS34" s="53"/>
      <c r="AT34" s="257">
        <f>SUM(AP$30:AS34)</f>
        <v>37</v>
      </c>
      <c r="AU34" s="258">
        <f t="shared" si="9"/>
        <v>8</v>
      </c>
      <c r="AV34" s="259">
        <f>SUM(AW$30:AZ34)</f>
        <v>29</v>
      </c>
      <c r="AW34" s="52">
        <v>7</v>
      </c>
      <c r="AX34" s="53"/>
      <c r="AY34" s="53"/>
      <c r="AZ34" s="53"/>
      <c r="BA34" s="249"/>
      <c r="BB34" s="533">
        <v>5</v>
      </c>
      <c r="BC34" s="531" t="s">
        <v>2</v>
      </c>
      <c r="BD34" s="532"/>
      <c r="BE34" s="532"/>
      <c r="BF34" s="532"/>
      <c r="BG34" s="613">
        <f>SUM(BC$30:BF34)</f>
        <v>22</v>
      </c>
      <c r="BH34" s="614">
        <f t="shared" si="7"/>
        <v>5</v>
      </c>
      <c r="BI34" s="615">
        <f>SUM(BJ$30:BM34)</f>
        <v>17</v>
      </c>
      <c r="BJ34" s="531" t="s">
        <v>2</v>
      </c>
      <c r="BK34" s="532"/>
      <c r="BL34" s="532"/>
      <c r="BM34" s="532"/>
      <c r="BN34" s="605"/>
      <c r="BO34" s="533">
        <v>5</v>
      </c>
      <c r="BP34" s="531">
        <v>8</v>
      </c>
      <c r="BQ34" s="532"/>
      <c r="BR34" s="532"/>
      <c r="BS34" s="532"/>
      <c r="BT34" s="613">
        <f>SUM(BP$30:BS34)</f>
        <v>21</v>
      </c>
      <c r="BU34" s="614">
        <f t="shared" si="10"/>
        <v>-5</v>
      </c>
      <c r="BV34" s="615">
        <f>SUM(BW$30:BZ34)</f>
        <v>26</v>
      </c>
      <c r="BW34" s="531">
        <v>6</v>
      </c>
      <c r="BX34" s="532"/>
      <c r="BY34" s="532"/>
      <c r="BZ34" s="532"/>
      <c r="CA34" s="605"/>
    </row>
    <row r="35" spans="1:79" ht="15">
      <c r="A35" s="1537"/>
      <c r="B35" s="56">
        <v>6</v>
      </c>
      <c r="C35" s="53"/>
      <c r="D35" s="52" t="s">
        <v>2</v>
      </c>
      <c r="E35" s="53"/>
      <c r="F35" s="53"/>
      <c r="G35" s="257">
        <f>SUM(C$30:F35)</f>
        <v>33</v>
      </c>
      <c r="H35" s="258">
        <f t="shared" si="8"/>
        <v>-5</v>
      </c>
      <c r="I35" s="259">
        <f>SUM(J$30:M35)</f>
        <v>38</v>
      </c>
      <c r="J35" s="53"/>
      <c r="K35" s="52">
        <v>5</v>
      </c>
      <c r="L35" s="53"/>
      <c r="M35" s="53"/>
      <c r="N35" s="248"/>
      <c r="O35" s="50"/>
      <c r="P35" s="34"/>
      <c r="Q35" s="250"/>
      <c r="R35" s="34"/>
      <c r="S35" s="34"/>
      <c r="T35" s="256"/>
      <c r="U35" s="248"/>
      <c r="V35" s="256"/>
      <c r="W35" s="34"/>
      <c r="X35" s="38"/>
      <c r="Y35" s="38"/>
      <c r="Z35" s="34"/>
      <c r="AA35" s="248"/>
      <c r="AB35" s="51">
        <v>6</v>
      </c>
      <c r="AC35" s="52"/>
      <c r="AD35" s="53">
        <v>2</v>
      </c>
      <c r="AE35" s="53"/>
      <c r="AF35" s="53"/>
      <c r="AG35" s="257">
        <f>SUM(AC$30:AF35)</f>
        <v>24</v>
      </c>
      <c r="AH35" s="258">
        <f t="shared" si="6"/>
        <v>-26</v>
      </c>
      <c r="AI35" s="259">
        <f>SUM(AJ$30:AM35)</f>
        <v>50</v>
      </c>
      <c r="AJ35" s="52"/>
      <c r="AK35" s="565">
        <v>11</v>
      </c>
      <c r="AL35" s="532"/>
      <c r="AM35" s="53"/>
      <c r="AN35" s="248"/>
      <c r="AO35" s="56">
        <v>6</v>
      </c>
      <c r="AP35" s="53"/>
      <c r="AQ35" s="52">
        <v>6</v>
      </c>
      <c r="AR35" s="52"/>
      <c r="AS35" s="53"/>
      <c r="AT35" s="257">
        <f>SUM(AP$30:AS35)</f>
        <v>43</v>
      </c>
      <c r="AU35" s="258">
        <f t="shared" si="9"/>
        <v>14</v>
      </c>
      <c r="AV35" s="259">
        <f>SUM(AW$30:AZ35)</f>
        <v>29</v>
      </c>
      <c r="AW35" s="53"/>
      <c r="AX35" s="52" t="s">
        <v>2</v>
      </c>
      <c r="AY35" s="52"/>
      <c r="AZ35" s="53"/>
      <c r="BA35" s="249"/>
      <c r="BB35" s="533">
        <v>6</v>
      </c>
      <c r="BC35" s="532"/>
      <c r="BD35" s="531" t="s">
        <v>2</v>
      </c>
      <c r="BE35" s="531"/>
      <c r="BF35" s="532"/>
      <c r="BG35" s="613">
        <f>SUM(BC$30:BF35)</f>
        <v>22</v>
      </c>
      <c r="BH35" s="614">
        <f t="shared" si="7"/>
        <v>22</v>
      </c>
      <c r="BI35" s="615">
        <f>SUM(BJ$30:BM35)</f>
        <v>0</v>
      </c>
      <c r="BJ35" s="532"/>
      <c r="BK35" s="657">
        <v>-17</v>
      </c>
      <c r="BL35" s="531"/>
      <c r="BM35" s="532"/>
      <c r="BN35" s="605"/>
      <c r="BO35" s="533">
        <v>6</v>
      </c>
      <c r="BP35" s="532"/>
      <c r="BQ35" s="531" t="s">
        <v>2</v>
      </c>
      <c r="BR35" s="531"/>
      <c r="BS35" s="532"/>
      <c r="BT35" s="613">
        <f>SUM(BP$30:BS35)</f>
        <v>21</v>
      </c>
      <c r="BU35" s="614">
        <f t="shared" si="10"/>
        <v>-16</v>
      </c>
      <c r="BV35" s="615">
        <f>SUM(BW$30:BZ35)</f>
        <v>37</v>
      </c>
      <c r="BW35" s="532"/>
      <c r="BX35" s="531">
        <v>11</v>
      </c>
      <c r="BY35" s="531"/>
      <c r="BZ35" s="532"/>
      <c r="CA35" s="605"/>
    </row>
    <row r="36" spans="1:79" ht="15">
      <c r="A36" s="1537"/>
      <c r="B36" s="56">
        <v>7</v>
      </c>
      <c r="C36" s="52"/>
      <c r="D36" s="53"/>
      <c r="E36" s="53">
        <v>9</v>
      </c>
      <c r="F36" s="173"/>
      <c r="G36" s="257">
        <f>SUM(C$30:F36)</f>
        <v>42</v>
      </c>
      <c r="H36" s="258">
        <f t="shared" si="8"/>
        <v>4</v>
      </c>
      <c r="I36" s="259">
        <f>SUM(J$30:M36)</f>
        <v>38</v>
      </c>
      <c r="J36" s="52"/>
      <c r="K36" s="53"/>
      <c r="L36" s="53" t="s">
        <v>2</v>
      </c>
      <c r="M36" s="173"/>
      <c r="N36" s="248"/>
      <c r="O36" s="50"/>
      <c r="P36" s="34"/>
      <c r="Q36" s="250"/>
      <c r="R36" s="34"/>
      <c r="S36" s="34"/>
      <c r="T36" s="256"/>
      <c r="U36" s="248"/>
      <c r="V36" s="256"/>
      <c r="W36" s="38"/>
      <c r="X36" s="34"/>
      <c r="Y36" s="34"/>
      <c r="Z36" s="34"/>
      <c r="AA36" s="248"/>
      <c r="AB36" s="522"/>
      <c r="AC36" s="534"/>
      <c r="AD36" s="616"/>
      <c r="AE36" s="616"/>
      <c r="AF36" s="534"/>
      <c r="AG36" s="616"/>
      <c r="AH36" s="607"/>
      <c r="AI36" s="607"/>
      <c r="AJ36" s="534"/>
      <c r="AK36" s="616"/>
      <c r="AL36" s="616"/>
      <c r="AM36" s="534"/>
      <c r="AN36" s="248"/>
      <c r="AO36" s="51">
        <v>7</v>
      </c>
      <c r="AP36" s="52"/>
      <c r="AQ36" s="53"/>
      <c r="AR36" s="565">
        <v>7</v>
      </c>
      <c r="AS36" s="53"/>
      <c r="AT36" s="257">
        <f>SUM(AP$30:AS36)</f>
        <v>50</v>
      </c>
      <c r="AU36" s="258">
        <f t="shared" si="9"/>
        <v>21</v>
      </c>
      <c r="AV36" s="259">
        <f>SUM(AW$30:AZ36)</f>
        <v>29</v>
      </c>
      <c r="AW36" s="52"/>
      <c r="AX36" s="53"/>
      <c r="AY36" s="53"/>
      <c r="AZ36" s="53"/>
      <c r="BA36" s="249"/>
      <c r="BB36" s="522"/>
      <c r="BC36" s="534"/>
      <c r="BD36" s="616"/>
      <c r="BE36" s="616"/>
      <c r="BF36" s="534"/>
      <c r="BG36" s="616"/>
      <c r="BH36" s="607"/>
      <c r="BI36" s="607"/>
      <c r="BJ36" s="534"/>
      <c r="BK36" s="616"/>
      <c r="BL36" s="616"/>
      <c r="BM36" s="534"/>
      <c r="BN36" s="605"/>
      <c r="BO36" s="530">
        <v>7</v>
      </c>
      <c r="BP36" s="531"/>
      <c r="BQ36" s="532"/>
      <c r="BR36" s="532">
        <v>3</v>
      </c>
      <c r="BS36" s="532"/>
      <c r="BT36" s="613">
        <f>SUM(BP$30:BS36)</f>
        <v>24</v>
      </c>
      <c r="BU36" s="614">
        <f t="shared" si="10"/>
        <v>-13</v>
      </c>
      <c r="BV36" s="615">
        <f>SUM(BW$30:BZ36)</f>
        <v>37</v>
      </c>
      <c r="BW36" s="531"/>
      <c r="BX36" s="532"/>
      <c r="BY36" s="532" t="s">
        <v>2</v>
      </c>
      <c r="BZ36" s="532"/>
      <c r="CA36" s="605"/>
    </row>
    <row r="37" spans="1:79" ht="15">
      <c r="A37" s="1537"/>
      <c r="B37" s="51">
        <v>8</v>
      </c>
      <c r="C37" s="53"/>
      <c r="D37" s="52"/>
      <c r="E37" s="53"/>
      <c r="F37" s="53" t="s">
        <v>2</v>
      </c>
      <c r="G37" s="257">
        <f>SUM(C$30:F37)</f>
        <v>42</v>
      </c>
      <c r="H37" s="258">
        <f t="shared" si="8"/>
        <v>-3</v>
      </c>
      <c r="I37" s="259">
        <f>SUM(J$30:M37)</f>
        <v>45</v>
      </c>
      <c r="J37" s="53"/>
      <c r="K37" s="52"/>
      <c r="L37" s="53"/>
      <c r="M37" s="173">
        <v>7</v>
      </c>
      <c r="N37" s="248"/>
      <c r="O37" s="50"/>
      <c r="P37" s="34"/>
      <c r="Q37" s="250"/>
      <c r="R37" s="34"/>
      <c r="S37" s="34"/>
      <c r="T37" s="256"/>
      <c r="U37" s="248"/>
      <c r="V37" s="256"/>
      <c r="W37" s="34"/>
      <c r="X37" s="38"/>
      <c r="Y37" s="38"/>
      <c r="Z37" s="34"/>
      <c r="AA37" s="248"/>
      <c r="AB37" s="40"/>
      <c r="AC37" s="58"/>
      <c r="AD37" s="260"/>
      <c r="AE37" s="260"/>
      <c r="AF37" s="58"/>
      <c r="AG37" s="260"/>
      <c r="AH37" s="251"/>
      <c r="AI37" s="251"/>
      <c r="AJ37" s="58"/>
      <c r="AK37" s="260"/>
      <c r="AL37" s="260"/>
      <c r="AM37" s="58"/>
      <c r="AN37" s="248"/>
      <c r="AO37" s="522"/>
      <c r="AP37" s="534"/>
      <c r="AQ37" s="616"/>
      <c r="AR37" s="616"/>
      <c r="AS37" s="534"/>
      <c r="AT37" s="616"/>
      <c r="AU37" s="607"/>
      <c r="AV37" s="607"/>
      <c r="AW37" s="534"/>
      <c r="AX37" s="616"/>
      <c r="AY37" s="616"/>
      <c r="AZ37" s="534"/>
      <c r="BA37" s="249"/>
      <c r="BB37" s="522"/>
      <c r="BC37" s="534"/>
      <c r="BD37" s="616"/>
      <c r="BE37" s="616"/>
      <c r="BF37" s="534"/>
      <c r="BG37" s="616"/>
      <c r="BH37" s="607"/>
      <c r="BI37" s="607"/>
      <c r="BJ37" s="534"/>
      <c r="BK37" s="616"/>
      <c r="BL37" s="616"/>
      <c r="BM37" s="534"/>
      <c r="BN37" s="605"/>
      <c r="BO37" s="533">
        <v>8</v>
      </c>
      <c r="BP37" s="532"/>
      <c r="BQ37" s="564"/>
      <c r="BR37" s="564"/>
      <c r="BS37" s="532">
        <v>11</v>
      </c>
      <c r="BT37" s="613">
        <f>SUM(BP$30:BS37)</f>
        <v>35</v>
      </c>
      <c r="BU37" s="614">
        <f t="shared" si="10"/>
        <v>-4</v>
      </c>
      <c r="BV37" s="615">
        <f>SUM(BW$30:BZ37)</f>
        <v>39</v>
      </c>
      <c r="BW37" s="532"/>
      <c r="BX37" s="531"/>
      <c r="BY37" s="531"/>
      <c r="BZ37" s="532">
        <v>2</v>
      </c>
      <c r="CA37" s="605"/>
    </row>
    <row r="38" spans="1:79" ht="15">
      <c r="A38" s="1537"/>
      <c r="B38" s="51">
        <v>9</v>
      </c>
      <c r="C38" s="52">
        <v>7</v>
      </c>
      <c r="D38" s="53"/>
      <c r="E38" s="53"/>
      <c r="F38" s="173"/>
      <c r="G38" s="257">
        <f>SUM(C$30:F38)</f>
        <v>49</v>
      </c>
      <c r="H38" s="258">
        <f>G38-I38</f>
        <v>-1</v>
      </c>
      <c r="I38" s="259">
        <f>SUM(J$30:M38)</f>
        <v>50</v>
      </c>
      <c r="J38" s="565">
        <v>5</v>
      </c>
      <c r="K38" s="53"/>
      <c r="L38" s="53"/>
      <c r="M38" s="173"/>
      <c r="N38" s="248"/>
      <c r="O38" s="50"/>
      <c r="P38" s="34"/>
      <c r="Q38" s="250"/>
      <c r="R38" s="34"/>
      <c r="S38" s="34"/>
      <c r="T38" s="256"/>
      <c r="U38" s="248"/>
      <c r="V38" s="256"/>
      <c r="W38" s="34"/>
      <c r="X38" s="38"/>
      <c r="Y38" s="38"/>
      <c r="Z38" s="34"/>
      <c r="AA38" s="248"/>
      <c r="AB38" s="40"/>
      <c r="AC38" s="58"/>
      <c r="AD38" s="260"/>
      <c r="AE38" s="260"/>
      <c r="AF38" s="58"/>
      <c r="AG38" s="260"/>
      <c r="AH38" s="251"/>
      <c r="AI38" s="251"/>
      <c r="AJ38" s="58"/>
      <c r="AK38" s="260"/>
      <c r="AL38" s="260"/>
      <c r="AM38" s="58"/>
      <c r="AN38" s="248"/>
      <c r="AO38" s="40"/>
      <c r="AP38" s="58"/>
      <c r="AQ38" s="260"/>
      <c r="AR38" s="260"/>
      <c r="AS38" s="58"/>
      <c r="AT38" s="260"/>
      <c r="AU38" s="251"/>
      <c r="AV38" s="251"/>
      <c r="AW38" s="58"/>
      <c r="AX38" s="260"/>
      <c r="AY38" s="260"/>
      <c r="AZ38" s="58"/>
      <c r="BA38" s="249"/>
      <c r="BB38" s="522"/>
      <c r="BC38" s="534"/>
      <c r="BD38" s="616"/>
      <c r="BE38" s="616"/>
      <c r="BF38" s="534"/>
      <c r="BG38" s="616"/>
      <c r="BH38" s="607"/>
      <c r="BI38" s="607"/>
      <c r="BJ38" s="534"/>
      <c r="BK38" s="616"/>
      <c r="BL38" s="616"/>
      <c r="BM38" s="534"/>
      <c r="BN38" s="605"/>
      <c r="BO38" s="530">
        <v>9</v>
      </c>
      <c r="BP38" s="531" t="s">
        <v>2</v>
      </c>
      <c r="BQ38" s="532"/>
      <c r="BR38" s="532"/>
      <c r="BS38" s="532"/>
      <c r="BT38" s="613">
        <f>SUM(BP$30:BS38)</f>
        <v>35</v>
      </c>
      <c r="BU38" s="614">
        <f>BT38-BV38</f>
        <v>-5</v>
      </c>
      <c r="BV38" s="615">
        <f>SUM(BW$30:BZ38)</f>
        <v>40</v>
      </c>
      <c r="BW38" s="531">
        <v>1</v>
      </c>
      <c r="BX38" s="532"/>
      <c r="BY38" s="532"/>
      <c r="BZ38" s="532"/>
      <c r="CA38" s="605"/>
    </row>
    <row r="39" spans="1:79" s="517" customFormat="1" ht="15">
      <c r="A39" s="1537"/>
      <c r="B39" s="522"/>
      <c r="C39" s="534"/>
      <c r="D39" s="616"/>
      <c r="E39" s="616"/>
      <c r="F39" s="534"/>
      <c r="G39" s="616"/>
      <c r="H39" s="607"/>
      <c r="I39" s="607"/>
      <c r="J39" s="534"/>
      <c r="K39" s="616"/>
      <c r="L39" s="616"/>
      <c r="M39" s="534"/>
      <c r="N39" s="604"/>
      <c r="O39" s="529"/>
      <c r="P39" s="518"/>
      <c r="Q39" s="606"/>
      <c r="R39" s="518"/>
      <c r="S39" s="518"/>
      <c r="T39" s="612"/>
      <c r="U39" s="604"/>
      <c r="V39" s="612"/>
      <c r="W39" s="518"/>
      <c r="X39" s="520"/>
      <c r="Y39" s="520"/>
      <c r="Z39" s="518"/>
      <c r="AA39" s="604"/>
      <c r="AB39" s="522"/>
      <c r="AC39" s="534"/>
      <c r="AD39" s="616"/>
      <c r="AE39" s="616"/>
      <c r="AF39" s="534"/>
      <c r="AG39" s="616"/>
      <c r="AH39" s="607"/>
      <c r="AI39" s="607"/>
      <c r="AJ39" s="534"/>
      <c r="AK39" s="616"/>
      <c r="AL39" s="616"/>
      <c r="AM39" s="534"/>
      <c r="AN39" s="604"/>
      <c r="AO39" s="522"/>
      <c r="AP39" s="534"/>
      <c r="AQ39" s="616"/>
      <c r="AR39" s="616"/>
      <c r="AS39" s="534"/>
      <c r="AT39" s="616"/>
      <c r="AU39" s="607"/>
      <c r="AV39" s="607"/>
      <c r="AW39" s="534"/>
      <c r="AX39" s="616"/>
      <c r="AY39" s="616"/>
      <c r="AZ39" s="534"/>
      <c r="BA39" s="605"/>
      <c r="BB39" s="522"/>
      <c r="BC39" s="534"/>
      <c r="BD39" s="616"/>
      <c r="BE39" s="616"/>
      <c r="BF39" s="534"/>
      <c r="BG39" s="616"/>
      <c r="BH39" s="607"/>
      <c r="BI39" s="607"/>
      <c r="BJ39" s="534"/>
      <c r="BK39" s="616"/>
      <c r="BL39" s="616"/>
      <c r="BM39" s="534"/>
      <c r="BN39" s="605"/>
      <c r="BO39" s="533">
        <v>10</v>
      </c>
      <c r="BP39" s="532"/>
      <c r="BQ39" s="531">
        <v>4</v>
      </c>
      <c r="BR39" s="531"/>
      <c r="BS39" s="532"/>
      <c r="BT39" s="613">
        <f>SUM(BP$30:BS39)</f>
        <v>39</v>
      </c>
      <c r="BU39" s="614">
        <f>BT39-BV39</f>
        <v>-1</v>
      </c>
      <c r="BV39" s="615">
        <f>SUM(BW$30:BZ39)</f>
        <v>40</v>
      </c>
      <c r="BW39" s="532"/>
      <c r="BX39" s="531" t="s">
        <v>2</v>
      </c>
      <c r="BY39" s="531"/>
      <c r="BZ39" s="532"/>
      <c r="CA39" s="605"/>
    </row>
    <row r="40" spans="1:79" s="517" customFormat="1" ht="15">
      <c r="A40" s="1537"/>
      <c r="B40" s="522"/>
      <c r="C40" s="534"/>
      <c r="D40" s="616"/>
      <c r="E40" s="616"/>
      <c r="F40" s="534"/>
      <c r="G40" s="616"/>
      <c r="H40" s="607"/>
      <c r="I40" s="607"/>
      <c r="J40" s="534"/>
      <c r="K40" s="616"/>
      <c r="L40" s="616"/>
      <c r="M40" s="534"/>
      <c r="N40" s="604"/>
      <c r="O40" s="529"/>
      <c r="P40" s="518"/>
      <c r="Q40" s="606"/>
      <c r="R40" s="518"/>
      <c r="S40" s="518"/>
      <c r="T40" s="612"/>
      <c r="U40" s="604"/>
      <c r="V40" s="612"/>
      <c r="W40" s="518"/>
      <c r="X40" s="520"/>
      <c r="Y40" s="520"/>
      <c r="Z40" s="518"/>
      <c r="AA40" s="604"/>
      <c r="AB40" s="522"/>
      <c r="AC40" s="534"/>
      <c r="AD40" s="616"/>
      <c r="AE40" s="616"/>
      <c r="AF40" s="534"/>
      <c r="AG40" s="616"/>
      <c r="AH40" s="607"/>
      <c r="AI40" s="607"/>
      <c r="AJ40" s="534"/>
      <c r="AK40" s="616"/>
      <c r="AL40" s="616"/>
      <c r="AM40" s="534"/>
      <c r="AN40" s="604"/>
      <c r="AO40" s="522"/>
      <c r="AP40" s="534"/>
      <c r="AQ40" s="616"/>
      <c r="AR40" s="616"/>
      <c r="AS40" s="534"/>
      <c r="AT40" s="616"/>
      <c r="AU40" s="607"/>
      <c r="AV40" s="607"/>
      <c r="AW40" s="534"/>
      <c r="AX40" s="616"/>
      <c r="AY40" s="616"/>
      <c r="AZ40" s="534"/>
      <c r="BA40" s="605"/>
      <c r="BB40" s="522"/>
      <c r="BC40" s="534"/>
      <c r="BD40" s="616"/>
      <c r="BE40" s="616"/>
      <c r="BF40" s="534"/>
      <c r="BG40" s="616"/>
      <c r="BH40" s="607"/>
      <c r="BI40" s="607"/>
      <c r="BJ40" s="534"/>
      <c r="BK40" s="616"/>
      <c r="BL40" s="616"/>
      <c r="BM40" s="534"/>
      <c r="BN40" s="605"/>
      <c r="BO40" s="533">
        <v>11</v>
      </c>
      <c r="BP40" s="531"/>
      <c r="BQ40" s="532"/>
      <c r="BR40" s="532" t="s">
        <v>2</v>
      </c>
      <c r="BS40" s="532"/>
      <c r="BT40" s="613">
        <f>SUM(BP$30:BS40)</f>
        <v>39</v>
      </c>
      <c r="BU40" s="614">
        <f>BT40-BV40</f>
        <v>-1</v>
      </c>
      <c r="BV40" s="615">
        <f>SUM(BW$30:BZ40)</f>
        <v>40</v>
      </c>
      <c r="BW40" s="531"/>
      <c r="BX40" s="532"/>
      <c r="BY40" s="532" t="s">
        <v>2</v>
      </c>
      <c r="BZ40" s="532"/>
      <c r="CA40" s="605"/>
    </row>
    <row r="41" spans="1:79" s="517" customFormat="1" ht="15">
      <c r="A41" s="1537"/>
      <c r="B41" s="522"/>
      <c r="C41" s="534"/>
      <c r="D41" s="616"/>
      <c r="E41" s="616"/>
      <c r="F41" s="534"/>
      <c r="G41" s="616"/>
      <c r="H41" s="607"/>
      <c r="I41" s="607"/>
      <c r="J41" s="534"/>
      <c r="K41" s="616"/>
      <c r="L41" s="616"/>
      <c r="M41" s="534"/>
      <c r="N41" s="604"/>
      <c r="O41" s="529"/>
      <c r="P41" s="518"/>
      <c r="Q41" s="606"/>
      <c r="R41" s="518"/>
      <c r="S41" s="518"/>
      <c r="T41" s="612"/>
      <c r="U41" s="604"/>
      <c r="V41" s="612"/>
      <c r="W41" s="518"/>
      <c r="X41" s="520"/>
      <c r="Y41" s="520"/>
      <c r="Z41" s="518"/>
      <c r="AA41" s="604"/>
      <c r="AB41" s="522"/>
      <c r="AC41" s="534"/>
      <c r="AD41" s="616"/>
      <c r="AE41" s="616"/>
      <c r="AF41" s="534"/>
      <c r="AG41" s="616"/>
      <c r="AH41" s="607"/>
      <c r="AI41" s="607"/>
      <c r="AJ41" s="534"/>
      <c r="AK41" s="616"/>
      <c r="AL41" s="616"/>
      <c r="AM41" s="534"/>
      <c r="AN41" s="604"/>
      <c r="AO41" s="522"/>
      <c r="AP41" s="534"/>
      <c r="AQ41" s="616"/>
      <c r="AR41" s="616"/>
      <c r="AS41" s="534"/>
      <c r="AT41" s="616"/>
      <c r="AU41" s="607"/>
      <c r="AV41" s="607"/>
      <c r="AW41" s="534"/>
      <c r="AX41" s="616"/>
      <c r="AY41" s="616"/>
      <c r="AZ41" s="534"/>
      <c r="BA41" s="605"/>
      <c r="BB41" s="522"/>
      <c r="BC41" s="534"/>
      <c r="BD41" s="616"/>
      <c r="BE41" s="616"/>
      <c r="BF41" s="534"/>
      <c r="BG41" s="616"/>
      <c r="BH41" s="607"/>
      <c r="BI41" s="607"/>
      <c r="BJ41" s="534"/>
      <c r="BK41" s="616"/>
      <c r="BL41" s="616"/>
      <c r="BM41" s="534"/>
      <c r="BN41" s="605"/>
      <c r="BO41" s="530">
        <v>12</v>
      </c>
      <c r="BP41" s="532"/>
      <c r="BQ41" s="531"/>
      <c r="BR41" s="531"/>
      <c r="BS41" s="565">
        <v>11</v>
      </c>
      <c r="BT41" s="613">
        <f>SUM(BP$30:BS41)</f>
        <v>50</v>
      </c>
      <c r="BU41" s="614">
        <f>BT41-BV41</f>
        <v>10</v>
      </c>
      <c r="BV41" s="615">
        <f>SUM(BW$30:BZ41)</f>
        <v>40</v>
      </c>
      <c r="BW41" s="532"/>
      <c r="BX41" s="531"/>
      <c r="BY41" s="531"/>
      <c r="BZ41" s="532"/>
      <c r="CA41" s="605"/>
    </row>
    <row r="42" spans="1:79">
      <c r="A42" s="1537"/>
      <c r="B42" s="40"/>
      <c r="C42" s="58"/>
      <c r="D42" s="260"/>
      <c r="E42" s="260"/>
      <c r="F42" s="58"/>
      <c r="G42" s="260"/>
      <c r="H42" s="251"/>
      <c r="I42" s="251"/>
      <c r="J42" s="58"/>
      <c r="K42" s="260"/>
      <c r="L42" s="260"/>
      <c r="M42" s="58"/>
      <c r="N42" s="248"/>
      <c r="O42" s="50"/>
      <c r="P42" s="34"/>
      <c r="Q42" s="250"/>
      <c r="R42" s="34"/>
      <c r="S42" s="34"/>
      <c r="T42" s="250"/>
      <c r="U42" s="248"/>
      <c r="V42" s="248"/>
      <c r="W42" s="34"/>
      <c r="X42" s="250"/>
      <c r="Y42" s="250"/>
      <c r="Z42" s="34"/>
      <c r="AA42" s="248"/>
      <c r="AB42" s="40"/>
      <c r="AC42" s="58"/>
      <c r="AD42" s="260"/>
      <c r="AE42" s="260"/>
      <c r="AF42" s="58"/>
      <c r="AG42" s="260"/>
      <c r="AH42" s="251"/>
      <c r="AI42" s="251"/>
      <c r="AJ42" s="58"/>
      <c r="AK42" s="260"/>
      <c r="AL42" s="260"/>
      <c r="AM42" s="58"/>
      <c r="AN42" s="248"/>
      <c r="AO42" s="40"/>
      <c r="AP42" s="58"/>
      <c r="AQ42" s="260"/>
      <c r="AR42" s="260"/>
      <c r="AS42" s="58"/>
      <c r="AT42" s="260"/>
      <c r="AU42" s="251"/>
      <c r="AV42" s="251"/>
      <c r="AW42" s="58"/>
      <c r="AX42" s="260"/>
      <c r="AY42" s="260"/>
      <c r="AZ42" s="58"/>
      <c r="BA42" s="249"/>
      <c r="BB42" s="522"/>
      <c r="BC42" s="534"/>
      <c r="BD42" s="616"/>
      <c r="BE42" s="616"/>
      <c r="BF42" s="534"/>
      <c r="BG42" s="616"/>
      <c r="BH42" s="607"/>
      <c r="BI42" s="607"/>
      <c r="BJ42" s="534"/>
      <c r="BK42" s="616"/>
      <c r="BL42" s="616"/>
      <c r="BM42" s="534"/>
      <c r="BN42" s="605"/>
      <c r="BO42" s="522"/>
      <c r="BP42" s="534"/>
      <c r="BQ42" s="616"/>
      <c r="BR42" s="616"/>
      <c r="BS42" s="534"/>
      <c r="BT42" s="616"/>
      <c r="BU42" s="607"/>
      <c r="BV42" s="607"/>
      <c r="BW42" s="534"/>
      <c r="BX42" s="616"/>
      <c r="BY42" s="616"/>
      <c r="BZ42" s="534"/>
      <c r="CA42" s="605"/>
    </row>
    <row r="43" spans="1:79" ht="15">
      <c r="A43" s="1537"/>
      <c r="B43" s="64" t="s">
        <v>3</v>
      </c>
      <c r="C43" s="52">
        <f>SUM(C30:C42)</f>
        <v>22</v>
      </c>
      <c r="D43" s="52">
        <f>SUM(D30:D42)</f>
        <v>9</v>
      </c>
      <c r="E43" s="52">
        <f>SUM(E30:E42)</f>
        <v>9</v>
      </c>
      <c r="F43" s="52">
        <f>SUM(F30:F42)</f>
        <v>9</v>
      </c>
      <c r="G43" s="66">
        <f>SUM(C43:F43)</f>
        <v>49</v>
      </c>
      <c r="H43" s="251"/>
      <c r="I43" s="66">
        <f>SUM(J43:M43)</f>
        <v>50</v>
      </c>
      <c r="J43" s="52">
        <f>SUM(J30:J42)</f>
        <v>20</v>
      </c>
      <c r="K43" s="52">
        <f>SUM(K30:K42)</f>
        <v>14</v>
      </c>
      <c r="L43" s="52">
        <f>SUM(L30:L42)</f>
        <v>0</v>
      </c>
      <c r="M43" s="65">
        <f>SUM(M30:M42)</f>
        <v>16</v>
      </c>
      <c r="N43" s="248"/>
      <c r="O43" s="61"/>
      <c r="P43" s="34"/>
      <c r="Q43" s="34"/>
      <c r="R43" s="34"/>
      <c r="S43" s="34"/>
      <c r="T43" s="62"/>
      <c r="U43" s="248"/>
      <c r="V43" s="62"/>
      <c r="W43" s="34"/>
      <c r="X43" s="34"/>
      <c r="Y43" s="34"/>
      <c r="Z43" s="34"/>
      <c r="AA43" s="248"/>
      <c r="AB43" s="64" t="s">
        <v>3</v>
      </c>
      <c r="AC43" s="52">
        <f>SUM(AC30:AC42)</f>
        <v>12</v>
      </c>
      <c r="AD43" s="52">
        <f>SUM(AD30:AD42)</f>
        <v>9</v>
      </c>
      <c r="AE43" s="52">
        <f>SUM(AE30:AE42)</f>
        <v>3</v>
      </c>
      <c r="AF43" s="52">
        <f>SUM(AF30:AF42)</f>
        <v>0</v>
      </c>
      <c r="AG43" s="66">
        <f>SUM(AC43:AF43)</f>
        <v>24</v>
      </c>
      <c r="AH43" s="251"/>
      <c r="AI43" s="66">
        <f>SUM(AJ43:AM43)</f>
        <v>50</v>
      </c>
      <c r="AJ43" s="52">
        <f>SUM(AJ30:AJ42)</f>
        <v>21</v>
      </c>
      <c r="AK43" s="52">
        <f>SUM(AK30:AK42)</f>
        <v>21</v>
      </c>
      <c r="AL43" s="52">
        <f>SUM(AL30:AL42)</f>
        <v>6</v>
      </c>
      <c r="AM43" s="65">
        <f>SUM(AM30:AM42)</f>
        <v>2</v>
      </c>
      <c r="AN43" s="248"/>
      <c r="AO43" s="64" t="s">
        <v>3</v>
      </c>
      <c r="AP43" s="52">
        <f>SUM(AP30:AP42)</f>
        <v>18</v>
      </c>
      <c r="AQ43" s="52">
        <f>SUM(AQ30:AQ42)</f>
        <v>14</v>
      </c>
      <c r="AR43" s="52">
        <f>SUM(AR30:AR42)</f>
        <v>10</v>
      </c>
      <c r="AS43" s="52">
        <f>SUM(AS30:AS42)</f>
        <v>8</v>
      </c>
      <c r="AT43" s="66">
        <f>SUM(AP43:AS43)</f>
        <v>50</v>
      </c>
      <c r="AU43" s="251"/>
      <c r="AV43" s="66">
        <f>SUM(AW43:AZ43)</f>
        <v>29</v>
      </c>
      <c r="AW43" s="52">
        <f>SUM(AW30:AW42)</f>
        <v>15</v>
      </c>
      <c r="AX43" s="52">
        <f>SUM(AX30:AX42)</f>
        <v>8</v>
      </c>
      <c r="AY43" s="52">
        <f>SUM(AY30:AY42)</f>
        <v>0</v>
      </c>
      <c r="AZ43" s="65">
        <f>SUM(AZ30:AZ42)</f>
        <v>6</v>
      </c>
      <c r="BA43" s="249"/>
      <c r="BB43" s="539" t="s">
        <v>3</v>
      </c>
      <c r="BC43" s="531">
        <f>SUM(BC30:BC42)</f>
        <v>4</v>
      </c>
      <c r="BD43" s="531">
        <f>SUM(BD30:BD42)</f>
        <v>7</v>
      </c>
      <c r="BE43" s="531">
        <f>SUM(BE30:BE42)</f>
        <v>6</v>
      </c>
      <c r="BF43" s="531">
        <f>SUM(BF30:BF42)</f>
        <v>5</v>
      </c>
      <c r="BG43" s="541">
        <f>SUM(BC43:BF43)</f>
        <v>22</v>
      </c>
      <c r="BH43" s="607"/>
      <c r="BI43" s="541">
        <f>SUM(BJ43:BM43)</f>
        <v>0</v>
      </c>
      <c r="BJ43" s="531">
        <f>SUM(BJ30:BJ42)</f>
        <v>8</v>
      </c>
      <c r="BK43" s="657">
        <f>SUM(BK30:BK42)</f>
        <v>-15</v>
      </c>
      <c r="BL43" s="531">
        <f>SUM(BL30:BL42)</f>
        <v>7</v>
      </c>
      <c r="BM43" s="540">
        <f>SUM(BM30:BM42)</f>
        <v>0</v>
      </c>
      <c r="BN43" s="605"/>
      <c r="BO43" s="539" t="s">
        <v>3</v>
      </c>
      <c r="BP43" s="531">
        <f>SUM(BP30:BP42)</f>
        <v>8</v>
      </c>
      <c r="BQ43" s="531">
        <f>SUM(BQ30:BQ42)</f>
        <v>4</v>
      </c>
      <c r="BR43" s="531">
        <f>SUM(BR30:BR42)</f>
        <v>8</v>
      </c>
      <c r="BS43" s="531">
        <f>SUM(BS30:BS42)</f>
        <v>30</v>
      </c>
      <c r="BT43" s="541">
        <f>SUM(BP43:BS43)</f>
        <v>50</v>
      </c>
      <c r="BU43" s="607"/>
      <c r="BV43" s="541">
        <f>SUM(BW43:BZ43)</f>
        <v>40</v>
      </c>
      <c r="BW43" s="531">
        <f>SUM(BW30:BW42)</f>
        <v>19</v>
      </c>
      <c r="BX43" s="531">
        <f>SUM(BX30:BX42)</f>
        <v>11</v>
      </c>
      <c r="BY43" s="531">
        <f>SUM(BY30:BY42)</f>
        <v>5</v>
      </c>
      <c r="BZ43" s="540">
        <f>SUM(BZ30:BZ42)</f>
        <v>5</v>
      </c>
      <c r="CA43" s="605"/>
    </row>
    <row r="44" spans="1:79" ht="15">
      <c r="A44" s="1537"/>
      <c r="B44" s="67" t="s">
        <v>4</v>
      </c>
      <c r="C44" s="53">
        <f>COUNTA(C30:C42)</f>
        <v>3</v>
      </c>
      <c r="D44" s="53">
        <f>COUNTA(D30:D42)</f>
        <v>2</v>
      </c>
      <c r="E44" s="53">
        <f>COUNTA(E30:E42)</f>
        <v>2</v>
      </c>
      <c r="F44" s="53">
        <f>COUNTA(F30:F42)</f>
        <v>2</v>
      </c>
      <c r="G44" s="66">
        <f>SUM(C44:F44)</f>
        <v>9</v>
      </c>
      <c r="H44" s="251"/>
      <c r="I44" s="66">
        <f>SUM(J44:M44)</f>
        <v>9</v>
      </c>
      <c r="J44" s="53">
        <f>COUNTA(J30:J42)</f>
        <v>3</v>
      </c>
      <c r="K44" s="53">
        <f>COUNTA(K30:K42)</f>
        <v>2</v>
      </c>
      <c r="L44" s="53">
        <f>COUNTA(L30:L42)</f>
        <v>2</v>
      </c>
      <c r="M44" s="53">
        <f>COUNTA(M30:M42)</f>
        <v>2</v>
      </c>
      <c r="N44" s="248"/>
      <c r="O44" s="61"/>
      <c r="P44" s="63"/>
      <c r="Q44" s="63"/>
      <c r="R44" s="63"/>
      <c r="S44" s="63"/>
      <c r="T44" s="62"/>
      <c r="U44" s="248"/>
      <c r="V44" s="62"/>
      <c r="W44" s="38"/>
      <c r="X44" s="38"/>
      <c r="Y44" s="38"/>
      <c r="Z44" s="38"/>
      <c r="AA44" s="248"/>
      <c r="AB44" s="67" t="s">
        <v>4</v>
      </c>
      <c r="AC44" s="53">
        <f>COUNTA(AC30:AC42)</f>
        <v>2</v>
      </c>
      <c r="AD44" s="53">
        <f>COUNTA(AD30:AD42)</f>
        <v>2</v>
      </c>
      <c r="AE44" s="53">
        <f>COUNTA(AE30:AE42)</f>
        <v>1</v>
      </c>
      <c r="AF44" s="53">
        <f>COUNTA(AF30:AF42)</f>
        <v>1</v>
      </c>
      <c r="AG44" s="66">
        <f>SUM(AC44:AF44)</f>
        <v>6</v>
      </c>
      <c r="AH44" s="251"/>
      <c r="AI44" s="66">
        <f>SUM(AJ44:AM44)</f>
        <v>6</v>
      </c>
      <c r="AJ44" s="53">
        <f>COUNTA(AJ30:AJ42)</f>
        <v>2</v>
      </c>
      <c r="AK44" s="53">
        <f>COUNTA(AK30:AK42)</f>
        <v>2</v>
      </c>
      <c r="AL44" s="53">
        <f>COUNTA(AL30:AL42)</f>
        <v>1</v>
      </c>
      <c r="AM44" s="53">
        <f>COUNTA(AM30:AM42)</f>
        <v>1</v>
      </c>
      <c r="AN44" s="248"/>
      <c r="AO44" s="67" t="s">
        <v>4</v>
      </c>
      <c r="AP44" s="53">
        <f>COUNTA(AP30:AP42)</f>
        <v>2</v>
      </c>
      <c r="AQ44" s="53">
        <f>COUNTA(AQ30:AQ42)</f>
        <v>2</v>
      </c>
      <c r="AR44" s="53">
        <f>COUNTA(AR30:AR42)</f>
        <v>2</v>
      </c>
      <c r="AS44" s="53">
        <f>COUNTA(AS30:AS42)</f>
        <v>1</v>
      </c>
      <c r="AT44" s="66">
        <f>SUM(AP44:AS44)</f>
        <v>7</v>
      </c>
      <c r="AU44" s="251"/>
      <c r="AV44" s="66">
        <f>SUM(AW44:AZ44)</f>
        <v>6</v>
      </c>
      <c r="AW44" s="53">
        <f>COUNTA(AW30:AW42)</f>
        <v>2</v>
      </c>
      <c r="AX44" s="53">
        <f>COUNTA(AX30:AX42)</f>
        <v>2</v>
      </c>
      <c r="AY44" s="53">
        <f>COUNTA(AY30:AY42)</f>
        <v>1</v>
      </c>
      <c r="AZ44" s="53">
        <f>COUNTA(AZ30:AZ42)</f>
        <v>1</v>
      </c>
      <c r="BA44" s="249"/>
      <c r="BB44" s="542" t="s">
        <v>4</v>
      </c>
      <c r="BC44" s="532">
        <f>COUNTA(BC30:BC42)</f>
        <v>2</v>
      </c>
      <c r="BD44" s="532">
        <f>COUNTA(BD30:BD42)</f>
        <v>2</v>
      </c>
      <c r="BE44" s="532">
        <f>COUNTA(BE30:BE42)</f>
        <v>1</v>
      </c>
      <c r="BF44" s="532">
        <f>COUNTA(BF30:BF42)</f>
        <v>1</v>
      </c>
      <c r="BG44" s="541">
        <f>SUM(BC44:BF44)</f>
        <v>6</v>
      </c>
      <c r="BH44" s="607"/>
      <c r="BI44" s="541">
        <f>SUM(BJ44:BM44)</f>
        <v>6</v>
      </c>
      <c r="BJ44" s="532">
        <f>COUNTA(BJ30:BJ42)</f>
        <v>2</v>
      </c>
      <c r="BK44" s="532">
        <f>COUNTA(BK30:BK42)</f>
        <v>2</v>
      </c>
      <c r="BL44" s="532">
        <f>COUNTA(BL30:BL42)</f>
        <v>1</v>
      </c>
      <c r="BM44" s="532">
        <f>COUNTA(BM30:BM42)</f>
        <v>1</v>
      </c>
      <c r="BN44" s="605"/>
      <c r="BO44" s="542" t="s">
        <v>4</v>
      </c>
      <c r="BP44" s="532">
        <f>COUNTA(BP30:BP42)</f>
        <v>3</v>
      </c>
      <c r="BQ44" s="532">
        <f>COUNTA(BQ30:BQ42)</f>
        <v>3</v>
      </c>
      <c r="BR44" s="532">
        <f>COUNTA(BR30:BR42)</f>
        <v>3</v>
      </c>
      <c r="BS44" s="532">
        <f>COUNTA(BS30:BS42)</f>
        <v>3</v>
      </c>
      <c r="BT44" s="541">
        <f>SUM(BP44:BS44)</f>
        <v>12</v>
      </c>
      <c r="BU44" s="607"/>
      <c r="BV44" s="541">
        <f>SUM(BW44:BZ44)</f>
        <v>11</v>
      </c>
      <c r="BW44" s="532">
        <f>COUNTA(BW30:BW42)</f>
        <v>3</v>
      </c>
      <c r="BX44" s="532">
        <f>COUNTA(BX30:BX42)</f>
        <v>3</v>
      </c>
      <c r="BY44" s="532">
        <f>COUNTA(BY30:BY42)</f>
        <v>3</v>
      </c>
      <c r="BZ44" s="532">
        <f>COUNTA(BZ30:BZ42)</f>
        <v>2</v>
      </c>
      <c r="CA44" s="605"/>
    </row>
    <row r="45" spans="1:79" ht="15">
      <c r="A45" s="1537"/>
      <c r="B45" s="64" t="s">
        <v>6</v>
      </c>
      <c r="C45" s="52">
        <f>C44-COUNT(C30:C42)</f>
        <v>0</v>
      </c>
      <c r="D45" s="52">
        <f>D44-COUNT(D30:D42)</f>
        <v>1</v>
      </c>
      <c r="E45" s="52">
        <f>E44-COUNT(E30:E42)</f>
        <v>1</v>
      </c>
      <c r="F45" s="52">
        <f>F44-COUNT(F30:F42)</f>
        <v>1</v>
      </c>
      <c r="G45" s="66">
        <f>SUM(C45:F45)</f>
        <v>3</v>
      </c>
      <c r="H45" s="251"/>
      <c r="I45" s="66">
        <f>SUM(J45:M45)</f>
        <v>2</v>
      </c>
      <c r="J45" s="52">
        <f>J44-COUNT(J30:J42)</f>
        <v>0</v>
      </c>
      <c r="K45" s="65">
        <f>K44-COUNT(K30:K42)</f>
        <v>0</v>
      </c>
      <c r="L45" s="65">
        <f>L44-COUNT(L30:L42)</f>
        <v>2</v>
      </c>
      <c r="M45" s="52">
        <f>M44-COUNT(M30:M42)</f>
        <v>0</v>
      </c>
      <c r="N45" s="248"/>
      <c r="O45" s="61"/>
      <c r="P45" s="69"/>
      <c r="Q45" s="71"/>
      <c r="R45" s="71"/>
      <c r="S45" s="71"/>
      <c r="T45" s="70"/>
      <c r="U45" s="248"/>
      <c r="V45" s="70"/>
      <c r="W45" s="69"/>
      <c r="X45" s="69"/>
      <c r="Y45" s="69"/>
      <c r="Z45" s="69"/>
      <c r="AA45" s="248"/>
      <c r="AB45" s="64" t="s">
        <v>6</v>
      </c>
      <c r="AC45" s="52">
        <f>AC44-COUNT(AC30:AC42)</f>
        <v>0</v>
      </c>
      <c r="AD45" s="52">
        <f>AD44-COUNT(AD30:AD42)</f>
        <v>0</v>
      </c>
      <c r="AE45" s="52">
        <f>AE44-COUNT(AE30:AE42)</f>
        <v>0</v>
      </c>
      <c r="AF45" s="52">
        <f>AF44-COUNT(AF30:AF42)</f>
        <v>1</v>
      </c>
      <c r="AG45" s="66">
        <f>SUM(AC45:AF45)</f>
        <v>1</v>
      </c>
      <c r="AH45" s="251"/>
      <c r="AI45" s="66">
        <f>SUM(AJ45:AM45)</f>
        <v>0</v>
      </c>
      <c r="AJ45" s="52">
        <f>AJ44-COUNT(AJ30:AJ42)</f>
        <v>0</v>
      </c>
      <c r="AK45" s="65">
        <f>AK44-COUNT(AK30:AK42)</f>
        <v>0</v>
      </c>
      <c r="AL45" s="65">
        <f>AL44-COUNT(AL30:AL42)</f>
        <v>0</v>
      </c>
      <c r="AM45" s="52">
        <f>AM44-COUNT(AM30:AM42)</f>
        <v>0</v>
      </c>
      <c r="AN45" s="248"/>
      <c r="AO45" s="64" t="s">
        <v>6</v>
      </c>
      <c r="AP45" s="52">
        <f>AP44-COUNT(AP30:AP42)</f>
        <v>0</v>
      </c>
      <c r="AQ45" s="52">
        <f>AQ44-COUNT(AQ30:AQ42)</f>
        <v>0</v>
      </c>
      <c r="AR45" s="52">
        <f>AR44-COUNT(AR30:AR42)</f>
        <v>0</v>
      </c>
      <c r="AS45" s="52">
        <f>AS44-COUNT(AS30:AS42)</f>
        <v>0</v>
      </c>
      <c r="AT45" s="66">
        <f>SUM(AP45:AS45)</f>
        <v>0</v>
      </c>
      <c r="AU45" s="251"/>
      <c r="AV45" s="66">
        <f>SUM(AW45:AZ45)</f>
        <v>2</v>
      </c>
      <c r="AW45" s="52">
        <f>AW44-COUNT(AW30:AW42)</f>
        <v>0</v>
      </c>
      <c r="AX45" s="65">
        <f>AX44-COUNT(AX30:AX42)</f>
        <v>1</v>
      </c>
      <c r="AY45" s="65">
        <f>AY44-COUNT(AY30:AY42)</f>
        <v>1</v>
      </c>
      <c r="AZ45" s="52">
        <f>AZ44-COUNT(AZ30:AZ42)</f>
        <v>0</v>
      </c>
      <c r="BA45" s="249"/>
      <c r="BB45" s="539" t="s">
        <v>6</v>
      </c>
      <c r="BC45" s="531">
        <f>BC44-COUNT(BC30:BC42)</f>
        <v>1</v>
      </c>
      <c r="BD45" s="531">
        <f>BD44-COUNT(BD30:BD42)</f>
        <v>1</v>
      </c>
      <c r="BE45" s="531">
        <f>BE44-COUNT(BE30:BE42)</f>
        <v>0</v>
      </c>
      <c r="BF45" s="531">
        <f>BF44-COUNT(BF30:BF42)</f>
        <v>0</v>
      </c>
      <c r="BG45" s="541">
        <f>SUM(BC45:BF45)</f>
        <v>2</v>
      </c>
      <c r="BH45" s="607"/>
      <c r="BI45" s="541">
        <f>SUM(BJ45:BM45)</f>
        <v>3</v>
      </c>
      <c r="BJ45" s="531">
        <f>BJ44-COUNT(BJ30:BJ42)</f>
        <v>1</v>
      </c>
      <c r="BK45" s="658">
        <v>1</v>
      </c>
      <c r="BL45" s="540">
        <f>BL44-COUNT(BL30:BL42)</f>
        <v>0</v>
      </c>
      <c r="BM45" s="531">
        <f>BM44-COUNT(BM30:BM42)</f>
        <v>1</v>
      </c>
      <c r="BN45" s="605"/>
      <c r="BO45" s="539" t="s">
        <v>6</v>
      </c>
      <c r="BP45" s="531">
        <f>BP44-COUNT(BP30:BP42)</f>
        <v>2</v>
      </c>
      <c r="BQ45" s="531">
        <f>BQ44-COUNT(BQ30:BQ42)</f>
        <v>2</v>
      </c>
      <c r="BR45" s="531">
        <f>BR44-COUNT(BR30:BR42)</f>
        <v>1</v>
      </c>
      <c r="BS45" s="531">
        <f>BS44-COUNT(BS30:BS42)</f>
        <v>0</v>
      </c>
      <c r="BT45" s="541">
        <f>SUM(BP45:BS45)</f>
        <v>5</v>
      </c>
      <c r="BU45" s="607"/>
      <c r="BV45" s="541">
        <f>SUM(BW45:BZ45)</f>
        <v>4</v>
      </c>
      <c r="BW45" s="531">
        <f>BW44-COUNT(BW30:BW42)</f>
        <v>0</v>
      </c>
      <c r="BX45" s="540">
        <f>BX44-COUNT(BX30:BX42)</f>
        <v>2</v>
      </c>
      <c r="BY45" s="540">
        <f>BY44-COUNT(BY30:BY42)</f>
        <v>2</v>
      </c>
      <c r="BZ45" s="531">
        <f>BZ44-COUNT(BZ30:BZ42)</f>
        <v>0</v>
      </c>
      <c r="CA45" s="605"/>
    </row>
    <row r="46" spans="1:79" ht="15">
      <c r="A46" s="1537"/>
      <c r="B46" s="64" t="s">
        <v>12</v>
      </c>
      <c r="C46" s="75">
        <f>C45/C44</f>
        <v>0</v>
      </c>
      <c r="D46" s="72">
        <f>D45/D44</f>
        <v>0.5</v>
      </c>
      <c r="E46" s="72">
        <f>E45/E44</f>
        <v>0.5</v>
      </c>
      <c r="F46" s="72">
        <f>F45/F44</f>
        <v>0.5</v>
      </c>
      <c r="G46" s="74">
        <f>G45/G44</f>
        <v>0.33333333333333331</v>
      </c>
      <c r="H46" s="251"/>
      <c r="I46" s="74">
        <f>I45/I44</f>
        <v>0.22222222222222221</v>
      </c>
      <c r="J46" s="72">
        <f>J45/J44</f>
        <v>0</v>
      </c>
      <c r="K46" s="73">
        <f>K45/K44</f>
        <v>0</v>
      </c>
      <c r="L46" s="73">
        <f>L45/L44</f>
        <v>1</v>
      </c>
      <c r="M46" s="72">
        <f>M45/M44</f>
        <v>0</v>
      </c>
      <c r="N46" s="248"/>
      <c r="O46" s="61"/>
      <c r="P46" s="76"/>
      <c r="Q46" s="78"/>
      <c r="R46" s="76"/>
      <c r="S46" s="76"/>
      <c r="T46" s="77"/>
      <c r="U46" s="248"/>
      <c r="V46" s="77"/>
      <c r="W46" s="76"/>
      <c r="X46" s="76"/>
      <c r="Y46" s="76"/>
      <c r="Z46" s="76"/>
      <c r="AA46" s="248"/>
      <c r="AB46" s="64" t="s">
        <v>12</v>
      </c>
      <c r="AC46" s="75">
        <f>AC45/AC44</f>
        <v>0</v>
      </c>
      <c r="AD46" s="72">
        <f>AD45/AD44</f>
        <v>0</v>
      </c>
      <c r="AE46" s="72">
        <f>AE45/AE44</f>
        <v>0</v>
      </c>
      <c r="AF46" s="72">
        <f>AF45/AF44</f>
        <v>1</v>
      </c>
      <c r="AG46" s="74">
        <f>AG45/AG44</f>
        <v>0.16666666666666666</v>
      </c>
      <c r="AH46" s="251"/>
      <c r="AI46" s="74">
        <f>AI45/AI44</f>
        <v>0</v>
      </c>
      <c r="AJ46" s="72">
        <f>AJ45/AJ44</f>
        <v>0</v>
      </c>
      <c r="AK46" s="73">
        <f>AK45/AK44</f>
        <v>0</v>
      </c>
      <c r="AL46" s="73">
        <f>AL45/AL44</f>
        <v>0</v>
      </c>
      <c r="AM46" s="72">
        <f>AM45/AM44</f>
        <v>0</v>
      </c>
      <c r="AN46" s="248"/>
      <c r="AO46" s="64" t="s">
        <v>12</v>
      </c>
      <c r="AP46" s="75">
        <f>AP45/AP44</f>
        <v>0</v>
      </c>
      <c r="AQ46" s="72">
        <f>AQ45/AQ44</f>
        <v>0</v>
      </c>
      <c r="AR46" s="72">
        <f>AR45/AR44</f>
        <v>0</v>
      </c>
      <c r="AS46" s="72">
        <f>AS45/AS44</f>
        <v>0</v>
      </c>
      <c r="AT46" s="74">
        <f>AT45/AT44</f>
        <v>0</v>
      </c>
      <c r="AU46" s="251"/>
      <c r="AV46" s="74">
        <f>AV45/AV44</f>
        <v>0.33333333333333331</v>
      </c>
      <c r="AW46" s="72">
        <f>AW45/AW44</f>
        <v>0</v>
      </c>
      <c r="AX46" s="73">
        <f>AX45/AX44</f>
        <v>0.5</v>
      </c>
      <c r="AY46" s="73">
        <f>AY45/AY44</f>
        <v>1</v>
      </c>
      <c r="AZ46" s="72">
        <f>AZ45/AZ44</f>
        <v>0</v>
      </c>
      <c r="BA46" s="249"/>
      <c r="BB46" s="539" t="s">
        <v>12</v>
      </c>
      <c r="BC46" s="549">
        <f>BC45/BC44</f>
        <v>0.5</v>
      </c>
      <c r="BD46" s="546">
        <f>BD45/BD44</f>
        <v>0.5</v>
      </c>
      <c r="BE46" s="546">
        <f>BE45/BE44</f>
        <v>0</v>
      </c>
      <c r="BF46" s="546">
        <f>BF45/BF44</f>
        <v>0</v>
      </c>
      <c r="BG46" s="548">
        <f>BG45/BG44</f>
        <v>0.33333333333333331</v>
      </c>
      <c r="BH46" s="607"/>
      <c r="BI46" s="548">
        <f>BI45/BI44</f>
        <v>0.5</v>
      </c>
      <c r="BJ46" s="546">
        <f>BJ45/BJ44</f>
        <v>0.5</v>
      </c>
      <c r="BK46" s="547">
        <f>BK45/BK44</f>
        <v>0.5</v>
      </c>
      <c r="BL46" s="547">
        <f>BL45/BL44</f>
        <v>0</v>
      </c>
      <c r="BM46" s="546">
        <f>BM45/BM44</f>
        <v>1</v>
      </c>
      <c r="BN46" s="605"/>
      <c r="BO46" s="539" t="s">
        <v>12</v>
      </c>
      <c r="BP46" s="549">
        <f>BP45/BP44</f>
        <v>0.66666666666666663</v>
      </c>
      <c r="BQ46" s="546">
        <f>BQ45/BQ44</f>
        <v>0.66666666666666663</v>
      </c>
      <c r="BR46" s="546">
        <f>BR45/BR44</f>
        <v>0.33333333333333331</v>
      </c>
      <c r="BS46" s="546">
        <f>BS45/BS44</f>
        <v>0</v>
      </c>
      <c r="BT46" s="548">
        <f>BT45/BT44</f>
        <v>0.41666666666666669</v>
      </c>
      <c r="BU46" s="607"/>
      <c r="BV46" s="548">
        <f>BV45/BV44</f>
        <v>0.36363636363636365</v>
      </c>
      <c r="BW46" s="546">
        <f>BW45/BW44</f>
        <v>0</v>
      </c>
      <c r="BX46" s="547">
        <f>BX45/BX44</f>
        <v>0.66666666666666663</v>
      </c>
      <c r="BY46" s="547">
        <f>BY45/BY44</f>
        <v>0.66666666666666663</v>
      </c>
      <c r="BZ46" s="546">
        <f>BZ45/BZ44</f>
        <v>0</v>
      </c>
      <c r="CA46" s="605"/>
    </row>
    <row r="47" spans="1:79" ht="15">
      <c r="A47" s="1537"/>
      <c r="B47" s="64" t="s">
        <v>5</v>
      </c>
      <c r="C47" s="79">
        <f>C43/C44</f>
        <v>7.333333333333333</v>
      </c>
      <c r="D47" s="79">
        <f>D43/D44</f>
        <v>4.5</v>
      </c>
      <c r="E47" s="79">
        <f>E43/E44</f>
        <v>4.5</v>
      </c>
      <c r="F47" s="79">
        <f>F43/F44</f>
        <v>4.5</v>
      </c>
      <c r="G47" s="81">
        <f>G43/G44</f>
        <v>5.4444444444444446</v>
      </c>
      <c r="H47" s="251"/>
      <c r="I47" s="81">
        <f>I43/I44</f>
        <v>5.5555555555555554</v>
      </c>
      <c r="J47" s="79">
        <f>J43/J44</f>
        <v>6.666666666666667</v>
      </c>
      <c r="K47" s="79">
        <f>K43/K44</f>
        <v>7</v>
      </c>
      <c r="L47" s="79">
        <f>L43/L44</f>
        <v>0</v>
      </c>
      <c r="M47" s="80">
        <f>M43/M44</f>
        <v>8</v>
      </c>
      <c r="N47" s="248"/>
      <c r="O47" s="61"/>
      <c r="P47" s="76"/>
      <c r="Q47" s="78"/>
      <c r="R47" s="82"/>
      <c r="S47" s="82"/>
      <c r="T47" s="83"/>
      <c r="U47" s="248"/>
      <c r="V47" s="83"/>
      <c r="W47" s="82"/>
      <c r="X47" s="82"/>
      <c r="Y47" s="82"/>
      <c r="Z47" s="82"/>
      <c r="AA47" s="248"/>
      <c r="AB47" s="64" t="s">
        <v>5</v>
      </c>
      <c r="AC47" s="79">
        <f>AC43/AC44</f>
        <v>6</v>
      </c>
      <c r="AD47" s="79">
        <f>AD43/AD44</f>
        <v>4.5</v>
      </c>
      <c r="AE47" s="79">
        <f>AE43/AE44</f>
        <v>3</v>
      </c>
      <c r="AF47" s="79">
        <f>AF43/AF44</f>
        <v>0</v>
      </c>
      <c r="AG47" s="81">
        <f>AG43/AG44</f>
        <v>4</v>
      </c>
      <c r="AH47" s="251"/>
      <c r="AI47" s="81">
        <f>AI43/AI44</f>
        <v>8.3333333333333339</v>
      </c>
      <c r="AJ47" s="79">
        <f>AJ43/AJ44</f>
        <v>10.5</v>
      </c>
      <c r="AK47" s="79">
        <f>AK43/AK44</f>
        <v>10.5</v>
      </c>
      <c r="AL47" s="79">
        <f>AL43/AL44</f>
        <v>6</v>
      </c>
      <c r="AM47" s="80">
        <f>AM43/AM44</f>
        <v>2</v>
      </c>
      <c r="AN47" s="248"/>
      <c r="AO47" s="64" t="s">
        <v>5</v>
      </c>
      <c r="AP47" s="79">
        <f>AP43/AP44</f>
        <v>9</v>
      </c>
      <c r="AQ47" s="79">
        <f>AQ43/AQ44</f>
        <v>7</v>
      </c>
      <c r="AR47" s="79">
        <f>AR43/AR44</f>
        <v>5</v>
      </c>
      <c r="AS47" s="79">
        <f>AS43/AS44</f>
        <v>8</v>
      </c>
      <c r="AT47" s="81">
        <f>AT43/AT44</f>
        <v>7.1428571428571432</v>
      </c>
      <c r="AU47" s="251"/>
      <c r="AV47" s="81">
        <f>AV43/AV44</f>
        <v>4.833333333333333</v>
      </c>
      <c r="AW47" s="79">
        <f>AW43/AW44</f>
        <v>7.5</v>
      </c>
      <c r="AX47" s="79">
        <f>AX43/AX44</f>
        <v>4</v>
      </c>
      <c r="AY47" s="79">
        <f>AY43/AY44</f>
        <v>0</v>
      </c>
      <c r="AZ47" s="80">
        <f>AZ43/AZ44</f>
        <v>6</v>
      </c>
      <c r="BA47" s="249"/>
      <c r="BB47" s="539" t="s">
        <v>5</v>
      </c>
      <c r="BC47" s="553">
        <f>BC43/BC44</f>
        <v>2</v>
      </c>
      <c r="BD47" s="553">
        <f>BD43/BD44</f>
        <v>3.5</v>
      </c>
      <c r="BE47" s="553">
        <f>BE43/BE44</f>
        <v>6</v>
      </c>
      <c r="BF47" s="553">
        <f>BF43/BF44</f>
        <v>5</v>
      </c>
      <c r="BG47" s="555">
        <f>BG43/BG44</f>
        <v>3.6666666666666665</v>
      </c>
      <c r="BH47" s="607"/>
      <c r="BI47" s="555">
        <f>BI43/BI44</f>
        <v>0</v>
      </c>
      <c r="BJ47" s="553">
        <f>BJ43/BJ44</f>
        <v>4</v>
      </c>
      <c r="BK47" s="553">
        <f>BK43/BK44</f>
        <v>-7.5</v>
      </c>
      <c r="BL47" s="553">
        <f>BL43/BL44</f>
        <v>7</v>
      </c>
      <c r="BM47" s="554">
        <f>BM43/BM44</f>
        <v>0</v>
      </c>
      <c r="BN47" s="605"/>
      <c r="BO47" s="539" t="s">
        <v>5</v>
      </c>
      <c r="BP47" s="553">
        <f>BP43/BP44</f>
        <v>2.6666666666666665</v>
      </c>
      <c r="BQ47" s="553">
        <f>BQ43/BQ44</f>
        <v>1.3333333333333333</v>
      </c>
      <c r="BR47" s="553">
        <f>BR43/BR44</f>
        <v>2.6666666666666665</v>
      </c>
      <c r="BS47" s="553">
        <f>BS43/BS44</f>
        <v>10</v>
      </c>
      <c r="BT47" s="555">
        <f>BT43/BT44</f>
        <v>4.166666666666667</v>
      </c>
      <c r="BU47" s="607"/>
      <c r="BV47" s="555">
        <f>BV43/BV44</f>
        <v>3.6363636363636362</v>
      </c>
      <c r="BW47" s="553">
        <f>BW43/BW44</f>
        <v>6.333333333333333</v>
      </c>
      <c r="BX47" s="553">
        <f>BX43/BX44</f>
        <v>3.6666666666666665</v>
      </c>
      <c r="BY47" s="553">
        <f>BY43/BY44</f>
        <v>1.6666666666666667</v>
      </c>
      <c r="BZ47" s="554">
        <f>BZ43/BZ44</f>
        <v>2.5</v>
      </c>
      <c r="CA47" s="605"/>
    </row>
    <row r="48" spans="1:79" ht="15">
      <c r="A48" s="1537"/>
      <c r="B48" s="64" t="s">
        <v>8</v>
      </c>
      <c r="C48" s="84">
        <f>C43/(C44-C45)</f>
        <v>7.333333333333333</v>
      </c>
      <c r="D48" s="84">
        <f>D43/(D44-D45)</f>
        <v>9</v>
      </c>
      <c r="E48" s="84">
        <f>E43/(E44-E45)</f>
        <v>9</v>
      </c>
      <c r="F48" s="84">
        <f>F43/(F44-F45)</f>
        <v>9</v>
      </c>
      <c r="G48" s="85">
        <f>G43/(G44-G45)</f>
        <v>8.1666666666666661</v>
      </c>
      <c r="H48" s="251"/>
      <c r="I48" s="85">
        <f>I43/(I44-I45)</f>
        <v>7.1428571428571432</v>
      </c>
      <c r="J48" s="84">
        <f>J43/(J44-J45)</f>
        <v>6.666666666666667</v>
      </c>
      <c r="K48" s="79">
        <f>K43/(K44-K45)</f>
        <v>7</v>
      </c>
      <c r="L48" s="662">
        <v>0</v>
      </c>
      <c r="M48" s="80">
        <f>M43/(M44-M45)</f>
        <v>8</v>
      </c>
      <c r="N48" s="248"/>
      <c r="O48" s="50"/>
      <c r="P48" s="34"/>
      <c r="Q48" s="34"/>
      <c r="R48" s="34"/>
      <c r="S48" s="34"/>
      <c r="T48" s="248"/>
      <c r="U48" s="248"/>
      <c r="V48" s="248"/>
      <c r="W48" s="248"/>
      <c r="X48" s="248"/>
      <c r="Y48" s="248"/>
      <c r="Z48" s="248"/>
      <c r="AA48" s="248"/>
      <c r="AB48" s="64" t="s">
        <v>8</v>
      </c>
      <c r="AC48" s="84">
        <f>AC43/(AC44-AC45)</f>
        <v>6</v>
      </c>
      <c r="AD48" s="84">
        <f>AD43/(AD44-AD45)</f>
        <v>4.5</v>
      </c>
      <c r="AE48" s="84">
        <f>AE43/(AE44-AE45)</f>
        <v>3</v>
      </c>
      <c r="AF48" s="660">
        <v>0</v>
      </c>
      <c r="AG48" s="85">
        <f>AG43/(AG44-AG45)</f>
        <v>4.8</v>
      </c>
      <c r="AH48" s="251"/>
      <c r="AI48" s="85">
        <f>AI43/(AI44-AI45)</f>
        <v>8.3333333333333339</v>
      </c>
      <c r="AJ48" s="84">
        <f>AJ43/(AJ44-AJ45)</f>
        <v>10.5</v>
      </c>
      <c r="AK48" s="79">
        <f>AK43/(AK44-AK45)</f>
        <v>10.5</v>
      </c>
      <c r="AL48" s="79">
        <f>AL43/(AL44-AL45)</f>
        <v>6</v>
      </c>
      <c r="AM48" s="553">
        <f>AM43/(AM44-AM45)</f>
        <v>2</v>
      </c>
      <c r="AN48" s="248"/>
      <c r="AO48" s="64" t="s">
        <v>8</v>
      </c>
      <c r="AP48" s="84">
        <f>AP43/(AP44-AP45)</f>
        <v>9</v>
      </c>
      <c r="AQ48" s="84">
        <f>AQ43/(AQ44-AQ45)</f>
        <v>7</v>
      </c>
      <c r="AR48" s="84">
        <f>AR43/(AR44-AR45)</f>
        <v>5</v>
      </c>
      <c r="AS48" s="84">
        <f>AS43/(AS44-AS45)</f>
        <v>8</v>
      </c>
      <c r="AT48" s="85">
        <f>AT43/(AT44-AT45)</f>
        <v>7.1428571428571432</v>
      </c>
      <c r="AU48" s="251"/>
      <c r="AV48" s="85">
        <f>AV43/(AV44-AV45)</f>
        <v>7.25</v>
      </c>
      <c r="AW48" s="84">
        <f>AW43/(AW44-AW45)</f>
        <v>7.5</v>
      </c>
      <c r="AX48" s="79">
        <f>AX43/(AX44-AX45)</f>
        <v>8</v>
      </c>
      <c r="AY48" s="662">
        <v>0</v>
      </c>
      <c r="AZ48" s="80">
        <f>AZ43/(AZ44-AZ45)</f>
        <v>6</v>
      </c>
      <c r="BA48" s="249"/>
      <c r="BB48" s="539" t="s">
        <v>8</v>
      </c>
      <c r="BC48" s="558">
        <f>BC43/(BC44-BC45)</f>
        <v>4</v>
      </c>
      <c r="BD48" s="558">
        <f>BD43/(BD44-BD45)</f>
        <v>7</v>
      </c>
      <c r="BE48" s="558">
        <f>BE43/(BE44-BE45)</f>
        <v>6</v>
      </c>
      <c r="BF48" s="558">
        <f>BF43/(BF44-BF45)</f>
        <v>5</v>
      </c>
      <c r="BG48" s="559">
        <f>BG43/(BG44-BG45)</f>
        <v>5.5</v>
      </c>
      <c r="BH48" s="607"/>
      <c r="BI48" s="559">
        <f>BI43/(BI44-BI45)</f>
        <v>0</v>
      </c>
      <c r="BJ48" s="558">
        <f>BJ43/(BJ44-BJ45)</f>
        <v>8</v>
      </c>
      <c r="BK48" s="553">
        <f>BK43/(BK44-BK45)</f>
        <v>-15</v>
      </c>
      <c r="BL48" s="553">
        <f>BL43/(BL44-BL45)</f>
        <v>7</v>
      </c>
      <c r="BM48" s="671">
        <v>0</v>
      </c>
      <c r="BN48" s="605"/>
      <c r="BO48" s="539" t="s">
        <v>8</v>
      </c>
      <c r="BP48" s="558">
        <f>BP43/(BP44-BP45)</f>
        <v>8</v>
      </c>
      <c r="BQ48" s="558">
        <f>BQ43/(BQ44-BQ45)</f>
        <v>4</v>
      </c>
      <c r="BR48" s="558">
        <f>BR43/(BR44-BR45)</f>
        <v>4</v>
      </c>
      <c r="BS48" s="558">
        <f>BS43/(BS44-BS45)</f>
        <v>10</v>
      </c>
      <c r="BT48" s="559">
        <f>BT43/(BT44-BT45)</f>
        <v>7.1428571428571432</v>
      </c>
      <c r="BU48" s="607"/>
      <c r="BV48" s="559">
        <f>BV43/(BV44-BV45)</f>
        <v>5.7142857142857144</v>
      </c>
      <c r="BW48" s="558">
        <f>BW43/(BW44-BW45)</f>
        <v>6.333333333333333</v>
      </c>
      <c r="BX48" s="553">
        <f>BX43/(BX44-BX45)</f>
        <v>11</v>
      </c>
      <c r="BY48" s="553">
        <f>BY43/(BY44-BY45)</f>
        <v>5</v>
      </c>
      <c r="BZ48" s="554">
        <f>BZ43/(BZ44-BZ45)</f>
        <v>2.5</v>
      </c>
      <c r="CA48" s="605"/>
    </row>
    <row r="49" spans="1:79" ht="15">
      <c r="A49" s="261"/>
      <c r="B49" s="50"/>
      <c r="C49" s="34"/>
      <c r="D49" s="34"/>
      <c r="E49" s="34"/>
      <c r="F49" s="34"/>
      <c r="G49" s="250"/>
      <c r="H49" s="248"/>
      <c r="I49" s="248"/>
      <c r="J49" s="248"/>
      <c r="K49" s="248"/>
      <c r="L49" s="248"/>
      <c r="M49" s="248"/>
      <c r="N49" s="248"/>
      <c r="O49" s="50"/>
      <c r="P49" s="34"/>
      <c r="Q49" s="34"/>
      <c r="R49" s="34"/>
      <c r="S49" s="34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48"/>
      <c r="AL49" s="248"/>
      <c r="AM49" s="248"/>
      <c r="AN49" s="248"/>
      <c r="AO49" s="248"/>
      <c r="AP49" s="248"/>
      <c r="AQ49" s="248"/>
      <c r="AR49" s="248"/>
      <c r="AS49" s="248"/>
      <c r="AT49" s="248"/>
      <c r="AU49" s="248"/>
      <c r="AV49" s="248"/>
      <c r="AW49" s="248"/>
      <c r="AX49" s="248"/>
      <c r="AY49" s="248"/>
      <c r="AZ49" s="248"/>
      <c r="BA49" s="249"/>
      <c r="BB49" s="604"/>
      <c r="BC49" s="604"/>
      <c r="BD49" s="604"/>
      <c r="BE49" s="604"/>
      <c r="BF49" s="604"/>
      <c r="BG49" s="604"/>
      <c r="BH49" s="604"/>
      <c r="BI49" s="604"/>
      <c r="BJ49" s="604"/>
      <c r="BK49" s="604"/>
      <c r="BL49" s="604"/>
      <c r="BM49" s="604"/>
      <c r="BN49" s="605"/>
      <c r="BO49" s="604"/>
      <c r="BP49" s="604"/>
      <c r="BQ49" s="604"/>
      <c r="BR49" s="604"/>
      <c r="BS49" s="604"/>
      <c r="BT49" s="604"/>
      <c r="BU49" s="604"/>
      <c r="BV49" s="604"/>
      <c r="BW49" s="604"/>
      <c r="BX49" s="604"/>
      <c r="BY49" s="604"/>
      <c r="BZ49" s="604"/>
      <c r="CA49" s="605"/>
    </row>
    <row r="50" spans="1:79" ht="15">
      <c r="A50" s="1537" t="s">
        <v>138</v>
      </c>
      <c r="B50" s="251"/>
      <c r="C50" s="1535" t="s">
        <v>138</v>
      </c>
      <c r="D50" s="1535"/>
      <c r="E50" s="1535"/>
      <c r="F50" s="1535"/>
      <c r="G50" s="251"/>
      <c r="H50" s="251"/>
      <c r="I50" s="251"/>
      <c r="J50" s="1536" t="s">
        <v>131</v>
      </c>
      <c r="K50" s="1536"/>
      <c r="L50" s="1536"/>
      <c r="M50" s="1536"/>
      <c r="N50" s="248"/>
      <c r="O50" s="251"/>
      <c r="P50" s="1536" t="s">
        <v>138</v>
      </c>
      <c r="Q50" s="1536"/>
      <c r="R50" s="1536"/>
      <c r="S50" s="1536"/>
      <c r="T50" s="251"/>
      <c r="U50" s="251"/>
      <c r="V50" s="251"/>
      <c r="W50" s="1535" t="s">
        <v>92</v>
      </c>
      <c r="X50" s="1535"/>
      <c r="Y50" s="1535"/>
      <c r="Z50" s="1535"/>
      <c r="AA50" s="248"/>
      <c r="AB50" s="248"/>
      <c r="AC50" s="248"/>
      <c r="AD50" s="248"/>
      <c r="AE50" s="248"/>
      <c r="AF50" s="248"/>
      <c r="AG50" s="248"/>
      <c r="AH50" s="248"/>
      <c r="AI50" s="248"/>
      <c r="AJ50" s="248"/>
      <c r="AK50" s="248"/>
      <c r="AL50" s="248"/>
      <c r="AM50" s="248"/>
      <c r="AN50" s="248"/>
      <c r="AO50" s="251"/>
      <c r="AP50" s="1539" t="s">
        <v>138</v>
      </c>
      <c r="AQ50" s="1539"/>
      <c r="AR50" s="1539"/>
      <c r="AS50" s="1539"/>
      <c r="AT50" s="251"/>
      <c r="AU50" s="251"/>
      <c r="AV50" s="251"/>
      <c r="AW50" s="1535" t="s">
        <v>144</v>
      </c>
      <c r="AX50" s="1535"/>
      <c r="AY50" s="1535"/>
      <c r="AZ50" s="1535"/>
      <c r="BA50" s="249"/>
      <c r="BB50" s="607"/>
      <c r="BC50" s="1539" t="s">
        <v>138</v>
      </c>
      <c r="BD50" s="1539"/>
      <c r="BE50" s="1539"/>
      <c r="BF50" s="1539"/>
      <c r="BG50" s="607"/>
      <c r="BH50" s="607"/>
      <c r="BI50" s="607"/>
      <c r="BJ50" s="1535" t="s">
        <v>145</v>
      </c>
      <c r="BK50" s="1535"/>
      <c r="BL50" s="1535"/>
      <c r="BM50" s="1535"/>
      <c r="BN50" s="605"/>
      <c r="BO50" s="607"/>
      <c r="BP50" s="1535" t="s">
        <v>138</v>
      </c>
      <c r="BQ50" s="1535"/>
      <c r="BR50" s="1535"/>
      <c r="BS50" s="1535"/>
      <c r="BT50" s="607"/>
      <c r="BU50" s="607"/>
      <c r="BV50" s="607"/>
      <c r="BW50" s="1539" t="s">
        <v>146</v>
      </c>
      <c r="BX50" s="1539"/>
      <c r="BY50" s="1539"/>
      <c r="BZ50" s="1539"/>
      <c r="CA50" s="605"/>
    </row>
    <row r="51" spans="1:79" ht="15">
      <c r="A51" s="1537"/>
      <c r="B51" s="40"/>
      <c r="C51" s="92">
        <v>1</v>
      </c>
      <c r="D51" s="93">
        <v>2</v>
      </c>
      <c r="E51" s="94">
        <v>3</v>
      </c>
      <c r="F51" s="245">
        <v>4</v>
      </c>
      <c r="G51" s="41">
        <f>IF(COUNTIF(G53:G64,"&gt;37")=0,0,COUNTIF(G53:G64,"&gt;37")-1)</f>
        <v>3</v>
      </c>
      <c r="H51" s="251"/>
      <c r="I51" s="41">
        <f>IF(COUNTIF(I53:I64,"&gt;37")=0,0,COUNTIF(I53:I64,"&gt;37")-1)</f>
        <v>3</v>
      </c>
      <c r="J51" s="86">
        <v>1</v>
      </c>
      <c r="K51" s="87">
        <v>2</v>
      </c>
      <c r="L51" s="88">
        <v>3</v>
      </c>
      <c r="M51" s="246">
        <v>4</v>
      </c>
      <c r="N51" s="248"/>
      <c r="O51" s="40"/>
      <c r="P51" s="560">
        <v>1</v>
      </c>
      <c r="Q51" s="561">
        <v>2</v>
      </c>
      <c r="R51" s="562">
        <v>3</v>
      </c>
      <c r="S51" s="646">
        <v>4</v>
      </c>
      <c r="T51" s="41">
        <f>IF(COUNTIF(T53:T64,"&gt;37")=0,0,COUNTIF(T53:T64,"&gt;37")-1)</f>
        <v>3</v>
      </c>
      <c r="U51" s="251"/>
      <c r="V51" s="486">
        <v>2</v>
      </c>
      <c r="W51" s="568">
        <v>1</v>
      </c>
      <c r="X51" s="569">
        <v>2</v>
      </c>
      <c r="Y51" s="570">
        <v>3</v>
      </c>
      <c r="Z51" s="645">
        <v>4</v>
      </c>
      <c r="AA51" s="248"/>
      <c r="AB51" s="50"/>
      <c r="AC51" s="39"/>
      <c r="AD51" s="39"/>
      <c r="AE51" s="39"/>
      <c r="AF51" s="39"/>
      <c r="AG51" s="38"/>
      <c r="AH51" s="248"/>
      <c r="AI51" s="256"/>
      <c r="AJ51" s="34"/>
      <c r="AK51" s="38"/>
      <c r="AL51" s="38"/>
      <c r="AM51" s="34"/>
      <c r="AN51" s="248"/>
      <c r="AO51" s="40"/>
      <c r="AP51" s="263">
        <v>1</v>
      </c>
      <c r="AQ51" s="264">
        <v>2</v>
      </c>
      <c r="AR51" s="265">
        <v>3</v>
      </c>
      <c r="AS51" s="266">
        <v>4</v>
      </c>
      <c r="AT51" s="41">
        <f>IF(COUNTIF(AT53:AT64,"&gt;37")=0,0,COUNTIF(AT53:AT64,"&gt;37")-1)</f>
        <v>4</v>
      </c>
      <c r="AU51" s="251"/>
      <c r="AV51" s="41">
        <f>IF(COUNTIF(AV53:AV64,"&gt;37")=0,0,COUNTIF(AV53:AV64,"&gt;37")-1)</f>
        <v>0</v>
      </c>
      <c r="AW51" s="92">
        <v>1</v>
      </c>
      <c r="AX51" s="93">
        <v>2</v>
      </c>
      <c r="AY51" s="94">
        <v>3</v>
      </c>
      <c r="AZ51" s="245">
        <v>4</v>
      </c>
      <c r="BA51" s="262"/>
      <c r="BB51" s="522"/>
      <c r="BC51" s="619">
        <v>1</v>
      </c>
      <c r="BD51" s="620">
        <v>2</v>
      </c>
      <c r="BE51" s="621">
        <v>3</v>
      </c>
      <c r="BF51" s="622">
        <v>4</v>
      </c>
      <c r="BG51" s="523">
        <f>IF(COUNTIF(BG53:BG64,"&gt;37")=0,0,COUNTIF(BG53:BG64,"&gt;37")-1)</f>
        <v>3</v>
      </c>
      <c r="BH51" s="607"/>
      <c r="BI51" s="486">
        <v>2</v>
      </c>
      <c r="BJ51" s="568">
        <v>1</v>
      </c>
      <c r="BK51" s="569">
        <v>2</v>
      </c>
      <c r="BL51" s="570">
        <v>3</v>
      </c>
      <c r="BM51" s="603">
        <v>4</v>
      </c>
      <c r="BN51" s="618"/>
      <c r="BO51" s="522"/>
      <c r="BP51" s="568">
        <v>1</v>
      </c>
      <c r="BQ51" s="569">
        <v>2</v>
      </c>
      <c r="BR51" s="570">
        <v>3</v>
      </c>
      <c r="BS51" s="645">
        <v>4</v>
      </c>
      <c r="BT51" s="523">
        <f>IF(COUNTIF(BT53:BT64,"&gt;37")=0,0,COUNTIF(BT53:BT64,"&gt;37")-1)</f>
        <v>1</v>
      </c>
      <c r="BU51" s="607"/>
      <c r="BV51" s="523">
        <f>IF(COUNTIF(BV53:BV64,"&gt;37")=0,0,COUNTIF(BV53:BV64,"&gt;37")-1)</f>
        <v>1</v>
      </c>
      <c r="BW51" s="619">
        <v>1</v>
      </c>
      <c r="BX51" s="620">
        <v>2</v>
      </c>
      <c r="BY51" s="621">
        <v>3</v>
      </c>
      <c r="BZ51" s="647">
        <v>4</v>
      </c>
      <c r="CA51" s="618"/>
    </row>
    <row r="52" spans="1:79" ht="48">
      <c r="A52" s="1537"/>
      <c r="B52" s="47"/>
      <c r="C52" s="95" t="s">
        <v>139</v>
      </c>
      <c r="D52" s="95" t="s">
        <v>141</v>
      </c>
      <c r="E52" s="95" t="s">
        <v>140</v>
      </c>
      <c r="F52" s="95" t="s">
        <v>142</v>
      </c>
      <c r="G52" s="254"/>
      <c r="H52" s="254"/>
      <c r="I52" s="254"/>
      <c r="J52" s="48" t="s">
        <v>134</v>
      </c>
      <c r="K52" s="48" t="s">
        <v>9</v>
      </c>
      <c r="L52" s="48" t="s">
        <v>132</v>
      </c>
      <c r="M52" s="48" t="s">
        <v>133</v>
      </c>
      <c r="N52" s="252"/>
      <c r="O52" s="47"/>
      <c r="P52" s="527" t="s">
        <v>139</v>
      </c>
      <c r="Q52" s="527" t="s">
        <v>140</v>
      </c>
      <c r="R52" s="527" t="s">
        <v>141</v>
      </c>
      <c r="S52" s="527" t="s">
        <v>142</v>
      </c>
      <c r="T52" s="254"/>
      <c r="U52" s="254"/>
      <c r="V52" s="254"/>
      <c r="W52" s="571" t="s">
        <v>93</v>
      </c>
      <c r="X52" s="571" t="s">
        <v>94</v>
      </c>
      <c r="Y52" s="571" t="s">
        <v>168</v>
      </c>
      <c r="Z52" s="571" t="s">
        <v>96</v>
      </c>
      <c r="AA52" s="252"/>
      <c r="AB52" s="42"/>
      <c r="AC52" s="46"/>
      <c r="AD52" s="253"/>
      <c r="AE52" s="253"/>
      <c r="AF52" s="45"/>
      <c r="AG52" s="44"/>
      <c r="AH52" s="252"/>
      <c r="AI52" s="256"/>
      <c r="AJ52" s="34"/>
      <c r="AK52" s="38"/>
      <c r="AL52" s="38"/>
      <c r="AM52" s="34"/>
      <c r="AN52" s="252"/>
      <c r="AO52" s="47"/>
      <c r="AP52" s="267" t="s">
        <v>139</v>
      </c>
      <c r="AQ52" s="267" t="s">
        <v>140</v>
      </c>
      <c r="AR52" s="267" t="s">
        <v>141</v>
      </c>
      <c r="AS52" s="267" t="s">
        <v>142</v>
      </c>
      <c r="AT52" s="254"/>
      <c r="AU52" s="254"/>
      <c r="AV52" s="254"/>
      <c r="AW52" s="571" t="s">
        <v>132</v>
      </c>
      <c r="AX52" s="571" t="s">
        <v>135</v>
      </c>
      <c r="AY52" s="571" t="s">
        <v>53</v>
      </c>
      <c r="AZ52" s="95" t="s">
        <v>137</v>
      </c>
      <c r="BA52" s="249"/>
      <c r="BB52" s="526"/>
      <c r="BC52" s="623" t="s">
        <v>139</v>
      </c>
      <c r="BD52" s="623" t="s">
        <v>140</v>
      </c>
      <c r="BE52" s="623" t="s">
        <v>141</v>
      </c>
      <c r="BF52" s="623" t="s">
        <v>142</v>
      </c>
      <c r="BG52" s="610"/>
      <c r="BH52" s="610"/>
      <c r="BI52" s="610"/>
      <c r="BJ52" s="571" t="s">
        <v>101</v>
      </c>
      <c r="BK52" s="571" t="s">
        <v>169</v>
      </c>
      <c r="BL52" s="571" t="s">
        <v>164</v>
      </c>
      <c r="BM52" s="571" t="s">
        <v>172</v>
      </c>
      <c r="BN52" s="605"/>
      <c r="BO52" s="526"/>
      <c r="BP52" s="571" t="s">
        <v>139</v>
      </c>
      <c r="BQ52" s="571" t="s">
        <v>140</v>
      </c>
      <c r="BR52" s="571" t="s">
        <v>141</v>
      </c>
      <c r="BS52" s="571" t="s">
        <v>142</v>
      </c>
      <c r="BT52" s="610"/>
      <c r="BU52" s="610"/>
      <c r="BV52" s="610"/>
      <c r="BW52" s="623" t="s">
        <v>164</v>
      </c>
      <c r="BX52" s="623" t="s">
        <v>165</v>
      </c>
      <c r="BY52" s="623" t="s">
        <v>166</v>
      </c>
      <c r="BZ52" s="623" t="s">
        <v>167</v>
      </c>
      <c r="CA52" s="605"/>
    </row>
    <row r="53" spans="1:79" ht="15">
      <c r="A53" s="1537"/>
      <c r="B53" s="51">
        <v>1</v>
      </c>
      <c r="C53" s="52">
        <v>6</v>
      </c>
      <c r="D53" s="53"/>
      <c r="E53" s="53"/>
      <c r="F53" s="173"/>
      <c r="G53" s="257">
        <f>SUM(C$53:F53)</f>
        <v>6</v>
      </c>
      <c r="H53" s="258">
        <f>G53-I53</f>
        <v>-4</v>
      </c>
      <c r="I53" s="259">
        <f>SUM(J$53:M53)</f>
        <v>10</v>
      </c>
      <c r="J53" s="52">
        <v>10</v>
      </c>
      <c r="K53" s="53"/>
      <c r="L53" s="53"/>
      <c r="M53" s="173"/>
      <c r="N53" s="248"/>
      <c r="O53" s="51">
        <v>1</v>
      </c>
      <c r="P53" s="52">
        <v>7</v>
      </c>
      <c r="Q53" s="53"/>
      <c r="R53" s="53"/>
      <c r="S53" s="53"/>
      <c r="T53" s="257">
        <f>SUM(P$53:S53)</f>
        <v>7</v>
      </c>
      <c r="U53" s="258">
        <f t="shared" ref="U53:U63" si="11">T53-V53</f>
        <v>1</v>
      </c>
      <c r="V53" s="259">
        <f>SUM(W$53:Z53)</f>
        <v>6</v>
      </c>
      <c r="W53" s="52">
        <v>6</v>
      </c>
      <c r="X53" s="53"/>
      <c r="Y53" s="53"/>
      <c r="Z53" s="53"/>
      <c r="AA53" s="248"/>
      <c r="AB53" s="50"/>
      <c r="AC53" s="38"/>
      <c r="AD53" s="34"/>
      <c r="AE53" s="34"/>
      <c r="AF53" s="34"/>
      <c r="AG53" s="256"/>
      <c r="AH53" s="248"/>
      <c r="AI53" s="256"/>
      <c r="AJ53" s="34"/>
      <c r="AK53" s="38"/>
      <c r="AL53" s="38"/>
      <c r="AM53" s="34"/>
      <c r="AN53" s="248"/>
      <c r="AO53" s="51">
        <v>1</v>
      </c>
      <c r="AP53" s="52">
        <v>7</v>
      </c>
      <c r="AQ53" s="53"/>
      <c r="AR53" s="53"/>
      <c r="AS53" s="53"/>
      <c r="AT53" s="257">
        <f>SUM(AP$53:AS53)</f>
        <v>7</v>
      </c>
      <c r="AU53" s="258">
        <f>AT53-AV53</f>
        <v>0</v>
      </c>
      <c r="AV53" s="259">
        <f>SUM(AW$53:AZ53)</f>
        <v>7</v>
      </c>
      <c r="AW53" s="52">
        <v>7</v>
      </c>
      <c r="AX53" s="53"/>
      <c r="AY53" s="53"/>
      <c r="AZ53" s="53"/>
      <c r="BA53" s="249"/>
      <c r="BB53" s="530">
        <v>1</v>
      </c>
      <c r="BC53" s="531">
        <v>9</v>
      </c>
      <c r="BD53" s="532"/>
      <c r="BE53" s="532"/>
      <c r="BF53" s="532"/>
      <c r="BG53" s="613">
        <f>SUM(BC$53:BF53)</f>
        <v>9</v>
      </c>
      <c r="BH53" s="614">
        <f>BG53-BI53</f>
        <v>1</v>
      </c>
      <c r="BI53" s="615">
        <f>SUM(BJ$53:BM53)</f>
        <v>8</v>
      </c>
      <c r="BJ53" s="531">
        <v>8</v>
      </c>
      <c r="BK53" s="532"/>
      <c r="BL53" s="532"/>
      <c r="BM53" s="532"/>
      <c r="BN53" s="605"/>
      <c r="BO53" s="530">
        <v>1</v>
      </c>
      <c r="BP53" s="531">
        <v>5</v>
      </c>
      <c r="BQ53" s="532"/>
      <c r="BR53" s="532"/>
      <c r="BS53" s="532"/>
      <c r="BT53" s="613">
        <f>SUM(BP$53:BS53)</f>
        <v>5</v>
      </c>
      <c r="BU53" s="614">
        <f>BT53-BV53</f>
        <v>0</v>
      </c>
      <c r="BV53" s="615">
        <f>SUM(BW$53:BZ53)</f>
        <v>5</v>
      </c>
      <c r="BW53" s="531">
        <v>5</v>
      </c>
      <c r="BX53" s="532"/>
      <c r="BY53" s="532"/>
      <c r="BZ53" s="532"/>
      <c r="CA53" s="605"/>
    </row>
    <row r="54" spans="1:79" ht="15">
      <c r="A54" s="1537"/>
      <c r="B54" s="56">
        <v>2</v>
      </c>
      <c r="C54" s="53"/>
      <c r="D54" s="52">
        <v>7</v>
      </c>
      <c r="E54" s="53"/>
      <c r="F54" s="53"/>
      <c r="G54" s="257">
        <f>SUM(C$53:F54)</f>
        <v>13</v>
      </c>
      <c r="H54" s="258">
        <f t="shared" ref="H54:H61" si="12">G54-I54</f>
        <v>-2</v>
      </c>
      <c r="I54" s="259">
        <f>SUM(J$53:M54)</f>
        <v>15</v>
      </c>
      <c r="J54" s="53"/>
      <c r="K54" s="52">
        <v>5</v>
      </c>
      <c r="L54" s="53"/>
      <c r="M54" s="53"/>
      <c r="N54" s="248"/>
      <c r="O54" s="56">
        <v>2</v>
      </c>
      <c r="P54" s="53"/>
      <c r="Q54" s="52" t="s">
        <v>2</v>
      </c>
      <c r="R54" s="53"/>
      <c r="S54" s="53"/>
      <c r="T54" s="257">
        <f>SUM(P$53:S54)</f>
        <v>7</v>
      </c>
      <c r="U54" s="258">
        <f t="shared" si="11"/>
        <v>-4</v>
      </c>
      <c r="V54" s="259">
        <f>SUM(W$53:Z54)</f>
        <v>11</v>
      </c>
      <c r="W54" s="53"/>
      <c r="X54" s="52">
        <v>5</v>
      </c>
      <c r="Y54" s="52"/>
      <c r="Z54" s="53"/>
      <c r="AA54" s="248"/>
      <c r="AB54" s="50"/>
      <c r="AC54" s="34"/>
      <c r="AD54" s="38"/>
      <c r="AE54" s="38"/>
      <c r="AF54" s="34"/>
      <c r="AG54" s="256"/>
      <c r="AH54" s="248"/>
      <c r="AI54" s="256"/>
      <c r="AJ54" s="34"/>
      <c r="AK54" s="38"/>
      <c r="AL54" s="38"/>
      <c r="AM54" s="34"/>
      <c r="AN54" s="248"/>
      <c r="AO54" s="56">
        <v>2</v>
      </c>
      <c r="AP54" s="53"/>
      <c r="AQ54" s="52">
        <v>7</v>
      </c>
      <c r="AR54" s="52"/>
      <c r="AS54" s="53"/>
      <c r="AT54" s="257">
        <f>SUM(AP$53:AS54)</f>
        <v>14</v>
      </c>
      <c r="AU54" s="258">
        <f t="shared" ref="AU54:AU60" si="13">AT54-AV54</f>
        <v>7</v>
      </c>
      <c r="AV54" s="259">
        <f>SUM(AW$53:AZ54)</f>
        <v>7</v>
      </c>
      <c r="AW54" s="53"/>
      <c r="AX54" s="52" t="s">
        <v>2</v>
      </c>
      <c r="AY54" s="52"/>
      <c r="AZ54" s="53"/>
      <c r="BA54" s="249"/>
      <c r="BB54" s="533">
        <v>2</v>
      </c>
      <c r="BC54" s="532"/>
      <c r="BD54" s="531" t="s">
        <v>2</v>
      </c>
      <c r="BE54" s="531"/>
      <c r="BF54" s="532"/>
      <c r="BG54" s="613">
        <f>SUM(BC$53:BF54)</f>
        <v>9</v>
      </c>
      <c r="BH54" s="614">
        <f t="shared" ref="BH54:BH60" si="14">BG54-BI54</f>
        <v>-7</v>
      </c>
      <c r="BI54" s="615">
        <f>SUM(BJ$53:BM54)</f>
        <v>16</v>
      </c>
      <c r="BJ54" s="532"/>
      <c r="BK54" s="531">
        <v>8</v>
      </c>
      <c r="BL54" s="531"/>
      <c r="BM54" s="532"/>
      <c r="BN54" s="605"/>
      <c r="BO54" s="533">
        <v>2</v>
      </c>
      <c r="BP54" s="532"/>
      <c r="BQ54" s="531">
        <v>4</v>
      </c>
      <c r="BR54" s="531"/>
      <c r="BS54" s="532"/>
      <c r="BT54" s="613">
        <f>SUM(BP$53:BS54)</f>
        <v>9</v>
      </c>
      <c r="BU54" s="614">
        <f t="shared" ref="BU54:BU60" si="15">BT54-BV54</f>
        <v>-3</v>
      </c>
      <c r="BV54" s="615">
        <f>SUM(BW$53:BZ54)</f>
        <v>12</v>
      </c>
      <c r="BW54" s="532"/>
      <c r="BX54" s="531">
        <v>7</v>
      </c>
      <c r="BY54" s="531"/>
      <c r="BZ54" s="532"/>
      <c r="CA54" s="605"/>
    </row>
    <row r="55" spans="1:79" ht="15">
      <c r="A55" s="1537"/>
      <c r="B55" s="56">
        <v>3</v>
      </c>
      <c r="C55" s="52"/>
      <c r="D55" s="53"/>
      <c r="E55" s="53">
        <v>5</v>
      </c>
      <c r="F55" s="173"/>
      <c r="G55" s="257">
        <f>SUM(C$53:F55)</f>
        <v>18</v>
      </c>
      <c r="H55" s="258">
        <f t="shared" si="12"/>
        <v>0</v>
      </c>
      <c r="I55" s="259">
        <f>SUM(J$53:M55)</f>
        <v>18</v>
      </c>
      <c r="J55" s="52"/>
      <c r="K55" s="53"/>
      <c r="L55" s="53">
        <v>3</v>
      </c>
      <c r="M55" s="173"/>
      <c r="N55" s="248"/>
      <c r="O55" s="56">
        <v>3</v>
      </c>
      <c r="P55" s="52"/>
      <c r="Q55" s="53"/>
      <c r="R55" s="53">
        <v>4</v>
      </c>
      <c r="S55" s="53"/>
      <c r="T55" s="257">
        <f>SUM(P$53:S55)</f>
        <v>11</v>
      </c>
      <c r="U55" s="258">
        <f t="shared" si="11"/>
        <v>-2</v>
      </c>
      <c r="V55" s="259">
        <f>SUM(W$53:Z55)</f>
        <v>13</v>
      </c>
      <c r="W55" s="52"/>
      <c r="X55" s="53"/>
      <c r="Y55" s="53">
        <v>2</v>
      </c>
      <c r="Z55" s="53"/>
      <c r="AA55" s="248"/>
      <c r="AB55" s="50"/>
      <c r="AC55" s="38"/>
      <c r="AD55" s="34"/>
      <c r="AE55" s="34"/>
      <c r="AF55" s="34"/>
      <c r="AG55" s="256"/>
      <c r="AH55" s="248"/>
      <c r="AI55" s="256"/>
      <c r="AJ55" s="34"/>
      <c r="AK55" s="38"/>
      <c r="AL55" s="38"/>
      <c r="AM55" s="34"/>
      <c r="AN55" s="248"/>
      <c r="AO55" s="56">
        <v>3</v>
      </c>
      <c r="AP55" s="52"/>
      <c r="AQ55" s="53"/>
      <c r="AR55" s="53">
        <v>5</v>
      </c>
      <c r="AS55" s="53"/>
      <c r="AT55" s="257">
        <f>SUM(AP$53:AS55)</f>
        <v>19</v>
      </c>
      <c r="AU55" s="258">
        <f t="shared" si="13"/>
        <v>12</v>
      </c>
      <c r="AV55" s="259">
        <f>SUM(AW$53:AZ55)</f>
        <v>7</v>
      </c>
      <c r="AW55" s="52"/>
      <c r="AX55" s="53"/>
      <c r="AY55" s="53" t="s">
        <v>2</v>
      </c>
      <c r="AZ55" s="53"/>
      <c r="BA55" s="249"/>
      <c r="BB55" s="533">
        <v>3</v>
      </c>
      <c r="BC55" s="531"/>
      <c r="BD55" s="532"/>
      <c r="BE55" s="532">
        <v>5</v>
      </c>
      <c r="BF55" s="532"/>
      <c r="BG55" s="613">
        <f>SUM(BC$53:BF55)</f>
        <v>14</v>
      </c>
      <c r="BH55" s="614">
        <f t="shared" si="14"/>
        <v>-2</v>
      </c>
      <c r="BI55" s="615">
        <f>SUM(BJ$53:BM55)</f>
        <v>16</v>
      </c>
      <c r="BJ55" s="531"/>
      <c r="BK55" s="532"/>
      <c r="BL55" s="532" t="s">
        <v>2</v>
      </c>
      <c r="BM55" s="532"/>
      <c r="BN55" s="605"/>
      <c r="BO55" s="533">
        <v>3</v>
      </c>
      <c r="BP55" s="531"/>
      <c r="BQ55" s="532"/>
      <c r="BR55" s="532">
        <v>6</v>
      </c>
      <c r="BS55" s="532"/>
      <c r="BT55" s="613">
        <f>SUM(BP$53:BS55)</f>
        <v>15</v>
      </c>
      <c r="BU55" s="614">
        <f t="shared" si="15"/>
        <v>-2</v>
      </c>
      <c r="BV55" s="615">
        <f>SUM(BW$53:BZ55)</f>
        <v>17</v>
      </c>
      <c r="BW55" s="531"/>
      <c r="BX55" s="532"/>
      <c r="BY55" s="532">
        <v>5</v>
      </c>
      <c r="BZ55" s="532"/>
      <c r="CA55" s="605"/>
    </row>
    <row r="56" spans="1:79" ht="15">
      <c r="A56" s="1537"/>
      <c r="B56" s="56">
        <v>4</v>
      </c>
      <c r="C56" s="53"/>
      <c r="D56" s="52"/>
      <c r="E56" s="53"/>
      <c r="F56" s="53">
        <v>4</v>
      </c>
      <c r="G56" s="257">
        <f>SUM(C$53:F56)</f>
        <v>22</v>
      </c>
      <c r="H56" s="258">
        <f t="shared" si="12"/>
        <v>-2</v>
      </c>
      <c r="I56" s="259">
        <f>SUM(J$53:M56)</f>
        <v>24</v>
      </c>
      <c r="J56" s="53"/>
      <c r="K56" s="52"/>
      <c r="L56" s="53"/>
      <c r="M56" s="53">
        <v>6</v>
      </c>
      <c r="N56" s="248"/>
      <c r="O56" s="56">
        <v>4</v>
      </c>
      <c r="P56" s="53"/>
      <c r="Q56" s="52"/>
      <c r="R56" s="53"/>
      <c r="S56" s="53">
        <v>9</v>
      </c>
      <c r="T56" s="257">
        <f>SUM(P$53:S56)</f>
        <v>20</v>
      </c>
      <c r="U56" s="258">
        <f t="shared" si="11"/>
        <v>-2</v>
      </c>
      <c r="V56" s="259">
        <f>SUM(W$53:Z56)</f>
        <v>22</v>
      </c>
      <c r="W56" s="53"/>
      <c r="X56" s="52"/>
      <c r="Y56" s="52"/>
      <c r="Z56" s="53">
        <v>9</v>
      </c>
      <c r="AA56" s="248"/>
      <c r="AB56" s="50"/>
      <c r="AC56" s="34"/>
      <c r="AD56" s="38"/>
      <c r="AE56" s="38"/>
      <c r="AF56" s="34"/>
      <c r="AG56" s="256"/>
      <c r="AH56" s="248"/>
      <c r="AI56" s="256"/>
      <c r="AJ56" s="34"/>
      <c r="AK56" s="38"/>
      <c r="AL56" s="38"/>
      <c r="AM56" s="34"/>
      <c r="AN56" s="248"/>
      <c r="AO56" s="56">
        <v>4</v>
      </c>
      <c r="AP56" s="53"/>
      <c r="AQ56" s="52"/>
      <c r="AR56" s="52"/>
      <c r="AS56" s="53">
        <v>11</v>
      </c>
      <c r="AT56" s="257">
        <f>SUM(AP$53:AS56)</f>
        <v>30</v>
      </c>
      <c r="AU56" s="258">
        <f t="shared" si="13"/>
        <v>18</v>
      </c>
      <c r="AV56" s="259">
        <f>SUM(AW$53:AZ56)</f>
        <v>12</v>
      </c>
      <c r="AW56" s="53"/>
      <c r="AX56" s="52"/>
      <c r="AY56" s="52"/>
      <c r="AZ56" s="644">
        <v>5</v>
      </c>
      <c r="BA56" s="249"/>
      <c r="BB56" s="533">
        <v>4</v>
      </c>
      <c r="BC56" s="532"/>
      <c r="BD56" s="531"/>
      <c r="BE56" s="531"/>
      <c r="BF56" s="532">
        <v>4</v>
      </c>
      <c r="BG56" s="613">
        <f>SUM(BC$53:BF56)</f>
        <v>18</v>
      </c>
      <c r="BH56" s="614">
        <f t="shared" si="14"/>
        <v>-8</v>
      </c>
      <c r="BI56" s="615">
        <f>SUM(BJ$53:BM56)</f>
        <v>26</v>
      </c>
      <c r="BJ56" s="532"/>
      <c r="BK56" s="531"/>
      <c r="BL56" s="531"/>
      <c r="BM56" s="532">
        <v>10</v>
      </c>
      <c r="BN56" s="605"/>
      <c r="BO56" s="533">
        <v>4</v>
      </c>
      <c r="BP56" s="532"/>
      <c r="BQ56" s="531"/>
      <c r="BR56" s="531"/>
      <c r="BS56" s="532">
        <v>6</v>
      </c>
      <c r="BT56" s="613">
        <f>SUM(BP$53:BS56)</f>
        <v>21</v>
      </c>
      <c r="BU56" s="614">
        <f t="shared" si="15"/>
        <v>1</v>
      </c>
      <c r="BV56" s="615">
        <f>SUM(BW$53:BZ56)</f>
        <v>20</v>
      </c>
      <c r="BW56" s="532"/>
      <c r="BX56" s="531"/>
      <c r="BY56" s="531"/>
      <c r="BZ56" s="532">
        <v>3</v>
      </c>
      <c r="CA56" s="605"/>
    </row>
    <row r="57" spans="1:79" ht="15">
      <c r="A57" s="1537"/>
      <c r="B57" s="56">
        <v>5</v>
      </c>
      <c r="C57" s="52">
        <v>11</v>
      </c>
      <c r="D57" s="53"/>
      <c r="E57" s="53"/>
      <c r="F57" s="173"/>
      <c r="G57" s="257">
        <f>SUM(C$53:F57)</f>
        <v>33</v>
      </c>
      <c r="H57" s="258">
        <f t="shared" si="12"/>
        <v>-2</v>
      </c>
      <c r="I57" s="259">
        <f>SUM(J$53:M57)</f>
        <v>35</v>
      </c>
      <c r="J57" s="52">
        <v>11</v>
      </c>
      <c r="K57" s="53"/>
      <c r="L57" s="53"/>
      <c r="M57" s="173"/>
      <c r="N57" s="248"/>
      <c r="O57" s="56">
        <v>5</v>
      </c>
      <c r="P57" s="52" t="s">
        <v>2</v>
      </c>
      <c r="Q57" s="53"/>
      <c r="R57" s="53"/>
      <c r="S57" s="53"/>
      <c r="T57" s="257">
        <f>SUM(P$53:S57)</f>
        <v>20</v>
      </c>
      <c r="U57" s="258">
        <f t="shared" si="11"/>
        <v>-10</v>
      </c>
      <c r="V57" s="259">
        <f>SUM(W$53:Z57)</f>
        <v>30</v>
      </c>
      <c r="W57" s="52">
        <v>8</v>
      </c>
      <c r="X57" s="53"/>
      <c r="Y57" s="53"/>
      <c r="Z57" s="53"/>
      <c r="AA57" s="248"/>
      <c r="AB57" s="50"/>
      <c r="AC57" s="38"/>
      <c r="AD57" s="34"/>
      <c r="AE57" s="34"/>
      <c r="AF57" s="34"/>
      <c r="AG57" s="256"/>
      <c r="AH57" s="248"/>
      <c r="AI57" s="256"/>
      <c r="AJ57" s="38"/>
      <c r="AK57" s="34"/>
      <c r="AL57" s="34"/>
      <c r="AM57" s="34"/>
      <c r="AN57" s="248"/>
      <c r="AO57" s="56">
        <v>7</v>
      </c>
      <c r="AP57" s="52">
        <v>6</v>
      </c>
      <c r="AQ57" s="53"/>
      <c r="AR57" s="53"/>
      <c r="AS57" s="53"/>
      <c r="AT57" s="257">
        <f>SUM(AP$53:AS57)</f>
        <v>36</v>
      </c>
      <c r="AU57" s="258">
        <f t="shared" si="13"/>
        <v>21</v>
      </c>
      <c r="AV57" s="259">
        <f>SUM(AW$53:AZ57)</f>
        <v>15</v>
      </c>
      <c r="AW57" s="52">
        <v>3</v>
      </c>
      <c r="AX57" s="53"/>
      <c r="AY57" s="53"/>
      <c r="AZ57" s="53"/>
      <c r="BA57" s="249"/>
      <c r="BB57" s="533">
        <v>7</v>
      </c>
      <c r="BC57" s="531" t="s">
        <v>2</v>
      </c>
      <c r="BD57" s="532"/>
      <c r="BE57" s="532"/>
      <c r="BF57" s="532"/>
      <c r="BG57" s="613">
        <f>SUM(BC$53:BF57)</f>
        <v>18</v>
      </c>
      <c r="BH57" s="614">
        <f t="shared" si="14"/>
        <v>-8</v>
      </c>
      <c r="BI57" s="615">
        <f>SUM(BJ$53:BM57)</f>
        <v>26</v>
      </c>
      <c r="BJ57" s="531" t="s">
        <v>2</v>
      </c>
      <c r="BK57" s="532"/>
      <c r="BL57" s="532"/>
      <c r="BM57" s="532"/>
      <c r="BN57" s="605"/>
      <c r="BO57" s="533">
        <v>7</v>
      </c>
      <c r="BP57" s="531">
        <v>10</v>
      </c>
      <c r="BQ57" s="532"/>
      <c r="BR57" s="532"/>
      <c r="BS57" s="532"/>
      <c r="BT57" s="613">
        <f>SUM(BP$53:BS57)</f>
        <v>31</v>
      </c>
      <c r="BU57" s="614">
        <f t="shared" si="15"/>
        <v>9</v>
      </c>
      <c r="BV57" s="615">
        <f>SUM(BW$53:BZ57)</f>
        <v>22</v>
      </c>
      <c r="BW57" s="531">
        <v>2</v>
      </c>
      <c r="BX57" s="532"/>
      <c r="BY57" s="532"/>
      <c r="BZ57" s="532"/>
      <c r="CA57" s="605"/>
    </row>
    <row r="58" spans="1:79" ht="15">
      <c r="A58" s="1537"/>
      <c r="B58" s="51">
        <v>6</v>
      </c>
      <c r="C58" s="52"/>
      <c r="D58" s="532">
        <v>5</v>
      </c>
      <c r="E58" s="53"/>
      <c r="F58" s="173"/>
      <c r="G58" s="257">
        <f>SUM(C$53:F58)</f>
        <v>38</v>
      </c>
      <c r="H58" s="258">
        <f t="shared" si="12"/>
        <v>-2</v>
      </c>
      <c r="I58" s="259">
        <f>SUM(J$53:M58)</f>
        <v>40</v>
      </c>
      <c r="J58" s="52"/>
      <c r="K58" s="53">
        <v>5</v>
      </c>
      <c r="L58" s="53"/>
      <c r="M58" s="173"/>
      <c r="N58" s="248"/>
      <c r="O58" s="56">
        <v>6</v>
      </c>
      <c r="P58" s="53"/>
      <c r="Q58" s="52">
        <v>8</v>
      </c>
      <c r="R58" s="53"/>
      <c r="S58" s="53"/>
      <c r="T58" s="257">
        <f>SUM(P$53:S58)</f>
        <v>28</v>
      </c>
      <c r="U58" s="258">
        <f t="shared" si="11"/>
        <v>-2</v>
      </c>
      <c r="V58" s="259">
        <f>SUM(W$53:Z58)</f>
        <v>30</v>
      </c>
      <c r="W58" s="53"/>
      <c r="X58" s="52" t="s">
        <v>2</v>
      </c>
      <c r="Y58" s="52"/>
      <c r="Z58" s="53"/>
      <c r="AA58" s="248"/>
      <c r="AB58" s="50"/>
      <c r="AC58" s="34"/>
      <c r="AD58" s="38"/>
      <c r="AE58" s="38"/>
      <c r="AF58" s="34"/>
      <c r="AG58" s="256"/>
      <c r="AH58" s="248"/>
      <c r="AI58" s="256"/>
      <c r="AJ58" s="34"/>
      <c r="AK58" s="38"/>
      <c r="AL58" s="38"/>
      <c r="AM58" s="34"/>
      <c r="AN58" s="248"/>
      <c r="AO58" s="56">
        <v>6</v>
      </c>
      <c r="AP58" s="53"/>
      <c r="AQ58" s="52">
        <v>6</v>
      </c>
      <c r="AR58" s="53"/>
      <c r="AS58" s="53"/>
      <c r="AT58" s="257">
        <f>SUM(AP$53:AS58)</f>
        <v>42</v>
      </c>
      <c r="AU58" s="258">
        <f t="shared" si="13"/>
        <v>21</v>
      </c>
      <c r="AV58" s="259">
        <f>SUM(AW$53:AZ58)</f>
        <v>21</v>
      </c>
      <c r="AW58" s="53"/>
      <c r="AX58" s="52">
        <v>6</v>
      </c>
      <c r="AY58" s="53"/>
      <c r="AZ58" s="53"/>
      <c r="BA58" s="249"/>
      <c r="BB58" s="533">
        <v>6</v>
      </c>
      <c r="BC58" s="532"/>
      <c r="BD58" s="531">
        <v>5</v>
      </c>
      <c r="BE58" s="532"/>
      <c r="BF58" s="532"/>
      <c r="BG58" s="613">
        <f>SUM(BC$53:BF58)</f>
        <v>23</v>
      </c>
      <c r="BH58" s="614">
        <f t="shared" si="14"/>
        <v>-13</v>
      </c>
      <c r="BI58" s="615">
        <f>SUM(BJ$53:BM58)</f>
        <v>36</v>
      </c>
      <c r="BJ58" s="532"/>
      <c r="BK58" s="531">
        <v>10</v>
      </c>
      <c r="BL58" s="532"/>
      <c r="BM58" s="532"/>
      <c r="BN58" s="605"/>
      <c r="BO58" s="533">
        <v>6</v>
      </c>
      <c r="BP58" s="532"/>
      <c r="BQ58" s="531">
        <v>2</v>
      </c>
      <c r="BR58" s="532"/>
      <c r="BS58" s="532"/>
      <c r="BT58" s="613">
        <f>SUM(BP$53:BS58)</f>
        <v>33</v>
      </c>
      <c r="BU58" s="614">
        <f t="shared" si="15"/>
        <v>1</v>
      </c>
      <c r="BV58" s="615">
        <f>SUM(BW$53:BZ58)</f>
        <v>32</v>
      </c>
      <c r="BW58" s="532"/>
      <c r="BX58" s="531">
        <v>10</v>
      </c>
      <c r="BY58" s="532"/>
      <c r="BZ58" s="532"/>
      <c r="CA58" s="605"/>
    </row>
    <row r="59" spans="1:79" ht="15">
      <c r="A59" s="1537"/>
      <c r="B59" s="56">
        <v>7</v>
      </c>
      <c r="C59" s="53"/>
      <c r="D59" s="532"/>
      <c r="E59" s="53" t="s">
        <v>2</v>
      </c>
      <c r="F59" s="53"/>
      <c r="G59" s="257">
        <f>SUM(C$53:F59)</f>
        <v>38</v>
      </c>
      <c r="H59" s="258">
        <f t="shared" si="12"/>
        <v>-2</v>
      </c>
      <c r="I59" s="259">
        <f>SUM(J$53:M59)</f>
        <v>40</v>
      </c>
      <c r="J59" s="53"/>
      <c r="K59" s="52"/>
      <c r="L59" s="53" t="s">
        <v>2</v>
      </c>
      <c r="M59" s="53"/>
      <c r="N59" s="248"/>
      <c r="O59" s="51">
        <v>7</v>
      </c>
      <c r="P59" s="52"/>
      <c r="Q59" s="53"/>
      <c r="R59" s="53">
        <v>2</v>
      </c>
      <c r="S59" s="53"/>
      <c r="T59" s="257">
        <f>SUM(P$53:S59)</f>
        <v>30</v>
      </c>
      <c r="U59" s="258">
        <f t="shared" si="11"/>
        <v>0</v>
      </c>
      <c r="V59" s="259">
        <f>SUM(W$53:Z59)</f>
        <v>30</v>
      </c>
      <c r="W59" s="52"/>
      <c r="X59" s="53"/>
      <c r="Y59" s="53" t="s">
        <v>2</v>
      </c>
      <c r="Z59" s="53"/>
      <c r="AA59" s="248"/>
      <c r="AB59" s="50"/>
      <c r="AC59" s="38"/>
      <c r="AD59" s="34"/>
      <c r="AE59" s="34"/>
      <c r="AF59" s="34"/>
      <c r="AG59" s="256"/>
      <c r="AH59" s="248"/>
      <c r="AI59" s="256"/>
      <c r="AJ59" s="38"/>
      <c r="AK59" s="34"/>
      <c r="AL59" s="34"/>
      <c r="AM59" s="34"/>
      <c r="AN59" s="248"/>
      <c r="AO59" s="56">
        <v>7</v>
      </c>
      <c r="AP59" s="52"/>
      <c r="AQ59" s="53"/>
      <c r="AR59" s="52">
        <v>3</v>
      </c>
      <c r="AS59" s="52"/>
      <c r="AT59" s="257">
        <f>SUM(AP$53:AS59)</f>
        <v>45</v>
      </c>
      <c r="AU59" s="258">
        <f t="shared" si="13"/>
        <v>24</v>
      </c>
      <c r="AV59" s="259">
        <f>SUM(AW$53:AZ59)</f>
        <v>21</v>
      </c>
      <c r="AW59" s="52"/>
      <c r="AX59" s="53"/>
      <c r="AY59" s="52" t="s">
        <v>2</v>
      </c>
      <c r="AZ59" s="52"/>
      <c r="BA59" s="249"/>
      <c r="BB59" s="533">
        <v>7</v>
      </c>
      <c r="BC59" s="531"/>
      <c r="BD59" s="532"/>
      <c r="BE59" s="531">
        <v>6</v>
      </c>
      <c r="BF59" s="531"/>
      <c r="BG59" s="613">
        <f>SUM(BC$53:BF59)</f>
        <v>29</v>
      </c>
      <c r="BH59" s="614">
        <f t="shared" si="14"/>
        <v>-7</v>
      </c>
      <c r="BI59" s="615">
        <f>SUM(BJ$53:BM59)</f>
        <v>36</v>
      </c>
      <c r="BJ59" s="531"/>
      <c r="BK59" s="532"/>
      <c r="BL59" s="531" t="s">
        <v>2</v>
      </c>
      <c r="BM59" s="531"/>
      <c r="BN59" s="605"/>
      <c r="BO59" s="533">
        <v>7</v>
      </c>
      <c r="BP59" s="531"/>
      <c r="BQ59" s="532"/>
      <c r="BR59" s="531">
        <v>2</v>
      </c>
      <c r="BS59" s="531"/>
      <c r="BT59" s="613">
        <f>SUM(BP$53:BS59)</f>
        <v>35</v>
      </c>
      <c r="BU59" s="614">
        <f t="shared" si="15"/>
        <v>2</v>
      </c>
      <c r="BV59" s="615">
        <f>SUM(BW$53:BZ59)</f>
        <v>33</v>
      </c>
      <c r="BW59" s="531"/>
      <c r="BX59" s="532"/>
      <c r="BY59" s="531">
        <v>1</v>
      </c>
      <c r="BZ59" s="531"/>
      <c r="CA59" s="605"/>
    </row>
    <row r="60" spans="1:79" ht="15">
      <c r="A60" s="1537"/>
      <c r="B60" s="56">
        <v>8</v>
      </c>
      <c r="C60" s="52"/>
      <c r="D60" s="532"/>
      <c r="E60" s="53"/>
      <c r="F60" s="53" t="s">
        <v>2</v>
      </c>
      <c r="G60" s="257">
        <f>SUM(C$53:F60)</f>
        <v>38</v>
      </c>
      <c r="H60" s="258">
        <f t="shared" si="12"/>
        <v>-7</v>
      </c>
      <c r="I60" s="259">
        <f>SUM(J$53:M60)</f>
        <v>45</v>
      </c>
      <c r="J60" s="52"/>
      <c r="K60" s="53"/>
      <c r="L60" s="53"/>
      <c r="M60" s="53">
        <v>5</v>
      </c>
      <c r="N60" s="248"/>
      <c r="O60" s="56">
        <v>8</v>
      </c>
      <c r="P60" s="53"/>
      <c r="Q60" s="52"/>
      <c r="R60" s="53"/>
      <c r="S60" s="53">
        <v>8</v>
      </c>
      <c r="T60" s="257">
        <f>SUM(P$53:S60)</f>
        <v>38</v>
      </c>
      <c r="U60" s="258">
        <f t="shared" si="11"/>
        <v>0</v>
      </c>
      <c r="V60" s="259">
        <f>SUM(W$53:Z60)</f>
        <v>38</v>
      </c>
      <c r="W60" s="53"/>
      <c r="X60" s="52"/>
      <c r="Y60" s="52"/>
      <c r="Z60" s="644">
        <v>8</v>
      </c>
      <c r="AA60" s="248"/>
      <c r="AB60" s="50"/>
      <c r="AC60" s="34"/>
      <c r="AD60" s="38"/>
      <c r="AE60" s="38"/>
      <c r="AF60" s="34"/>
      <c r="AG60" s="256"/>
      <c r="AH60" s="248"/>
      <c r="AI60" s="256"/>
      <c r="AJ60" s="34"/>
      <c r="AK60" s="38"/>
      <c r="AL60" s="38"/>
      <c r="AM60" s="34"/>
      <c r="AN60" s="248"/>
      <c r="AO60" s="56">
        <v>8</v>
      </c>
      <c r="AP60" s="53"/>
      <c r="AQ60" s="52"/>
      <c r="AR60" s="53"/>
      <c r="AS60" s="53" t="s">
        <v>2</v>
      </c>
      <c r="AT60" s="257">
        <f>SUM(AP$53:AS60)</f>
        <v>45</v>
      </c>
      <c r="AU60" s="258">
        <f t="shared" si="13"/>
        <v>24</v>
      </c>
      <c r="AV60" s="259">
        <f>SUM(AW$53:AZ60)</f>
        <v>21</v>
      </c>
      <c r="AW60" s="53"/>
      <c r="AX60" s="52"/>
      <c r="AY60" s="53"/>
      <c r="AZ60" s="53" t="s">
        <v>2</v>
      </c>
      <c r="BA60" s="249"/>
      <c r="BB60" s="533">
        <v>8</v>
      </c>
      <c r="BC60" s="532"/>
      <c r="BD60" s="531"/>
      <c r="BE60" s="532"/>
      <c r="BF60" s="532">
        <v>3</v>
      </c>
      <c r="BG60" s="613">
        <f>SUM(BC$53:BF60)</f>
        <v>32</v>
      </c>
      <c r="BH60" s="614">
        <f t="shared" si="14"/>
        <v>-4</v>
      </c>
      <c r="BI60" s="615">
        <f>SUM(BJ$53:BM60)</f>
        <v>36</v>
      </c>
      <c r="BJ60" s="532"/>
      <c r="BK60" s="531"/>
      <c r="BL60" s="532"/>
      <c r="BM60" s="532" t="s">
        <v>2</v>
      </c>
      <c r="BN60" s="605"/>
      <c r="BO60" s="533">
        <v>8</v>
      </c>
      <c r="BP60" s="532"/>
      <c r="BQ60" s="531"/>
      <c r="BR60" s="532"/>
      <c r="BS60" s="532">
        <v>2</v>
      </c>
      <c r="BT60" s="613">
        <f>SUM(BP$53:BS60)</f>
        <v>37</v>
      </c>
      <c r="BU60" s="614">
        <f t="shared" si="15"/>
        <v>2</v>
      </c>
      <c r="BV60" s="615">
        <f>SUM(BW$53:BZ60)</f>
        <v>35</v>
      </c>
      <c r="BW60" s="532"/>
      <c r="BX60" s="531"/>
      <c r="BY60" s="532"/>
      <c r="BZ60" s="532">
        <v>2</v>
      </c>
      <c r="CA60" s="605"/>
    </row>
    <row r="61" spans="1:79" ht="15">
      <c r="A61" s="1537"/>
      <c r="B61" s="56">
        <v>9</v>
      </c>
      <c r="C61" s="644">
        <v>6</v>
      </c>
      <c r="D61" s="532"/>
      <c r="E61" s="53"/>
      <c r="F61" s="53"/>
      <c r="G61" s="257">
        <f>SUM(C$53:F61)</f>
        <v>44</v>
      </c>
      <c r="H61" s="258">
        <f t="shared" si="12"/>
        <v>-6</v>
      </c>
      <c r="I61" s="259">
        <f>SUM(J$53:M61)</f>
        <v>50</v>
      </c>
      <c r="J61" s="565">
        <v>5</v>
      </c>
      <c r="K61" s="532"/>
      <c r="L61" s="53"/>
      <c r="M61" s="53"/>
      <c r="N61" s="248"/>
      <c r="O61" s="56">
        <v>9</v>
      </c>
      <c r="P61" s="52">
        <v>6</v>
      </c>
      <c r="Q61" s="53"/>
      <c r="R61" s="53"/>
      <c r="S61" s="53"/>
      <c r="T61" s="257">
        <f>SUM(P$53:S61)</f>
        <v>44</v>
      </c>
      <c r="U61" s="258">
        <f t="shared" si="11"/>
        <v>0</v>
      </c>
      <c r="V61" s="259">
        <f>SUM(W$53:Z61)</f>
        <v>44</v>
      </c>
      <c r="W61" s="52">
        <v>6</v>
      </c>
      <c r="X61" s="53"/>
      <c r="Y61" s="53"/>
      <c r="Z61" s="53"/>
      <c r="AA61" s="248"/>
      <c r="AB61" s="50"/>
      <c r="AC61" s="34"/>
      <c r="AD61" s="38"/>
      <c r="AE61" s="38"/>
      <c r="AF61" s="34"/>
      <c r="AG61" s="256"/>
      <c r="AH61" s="248"/>
      <c r="AI61" s="256"/>
      <c r="AJ61" s="34"/>
      <c r="AK61" s="38"/>
      <c r="AL61" s="38"/>
      <c r="AM61" s="34"/>
      <c r="AN61" s="248"/>
      <c r="AO61" s="51">
        <v>9</v>
      </c>
      <c r="AP61" s="53">
        <v>2</v>
      </c>
      <c r="AQ61" s="52"/>
      <c r="AR61" s="52"/>
      <c r="AS61" s="53"/>
      <c r="AT61" s="257">
        <f>SUM(AP$53:AS61)</f>
        <v>47</v>
      </c>
      <c r="AU61" s="258">
        <f>AT61-AV61</f>
        <v>21</v>
      </c>
      <c r="AV61" s="259">
        <f>SUM(AW$53:AZ61)</f>
        <v>26</v>
      </c>
      <c r="AW61" s="643">
        <v>5</v>
      </c>
      <c r="AX61" s="53"/>
      <c r="AY61" s="53"/>
      <c r="AZ61" s="53"/>
      <c r="BA61" s="249"/>
      <c r="BB61" s="530">
        <v>9</v>
      </c>
      <c r="BC61" s="532">
        <v>10</v>
      </c>
      <c r="BD61" s="531"/>
      <c r="BE61" s="531"/>
      <c r="BF61" s="532"/>
      <c r="BG61" s="613">
        <f>SUM(BC$53:BF61)</f>
        <v>42</v>
      </c>
      <c r="BH61" s="614">
        <f>BG61-BI61</f>
        <v>3</v>
      </c>
      <c r="BI61" s="615">
        <f>SUM(BJ$53:BM61)</f>
        <v>39</v>
      </c>
      <c r="BJ61" s="531">
        <v>3</v>
      </c>
      <c r="BK61" s="532"/>
      <c r="BL61" s="532"/>
      <c r="BM61" s="532"/>
      <c r="BN61" s="605"/>
      <c r="BO61" s="530">
        <v>9</v>
      </c>
      <c r="BP61" s="532">
        <v>2</v>
      </c>
      <c r="BQ61" s="531"/>
      <c r="BR61" s="531"/>
      <c r="BS61" s="532"/>
      <c r="BT61" s="613">
        <f>SUM(BP$53:BS61)</f>
        <v>39</v>
      </c>
      <c r="BU61" s="614">
        <f>BT61-BV61</f>
        <v>-6</v>
      </c>
      <c r="BV61" s="615">
        <f>SUM(BW$53:BZ61)</f>
        <v>45</v>
      </c>
      <c r="BW61" s="531">
        <v>10</v>
      </c>
      <c r="BX61" s="532"/>
      <c r="BY61" s="532"/>
      <c r="BZ61" s="532"/>
      <c r="CA61" s="605"/>
    </row>
    <row r="62" spans="1:79" ht="15">
      <c r="A62" s="1537"/>
      <c r="B62" s="517"/>
      <c r="C62" s="517"/>
      <c r="D62" s="517"/>
      <c r="E62" s="517"/>
      <c r="F62" s="517"/>
      <c r="G62" s="517"/>
      <c r="H62" s="517"/>
      <c r="I62" s="517"/>
      <c r="J62" s="517"/>
      <c r="K62" s="517"/>
      <c r="L62" s="517"/>
      <c r="M62" s="517"/>
      <c r="N62" s="248"/>
      <c r="O62" s="56">
        <v>10</v>
      </c>
      <c r="P62" s="53"/>
      <c r="Q62" s="52">
        <v>4</v>
      </c>
      <c r="R62" s="53"/>
      <c r="S62" s="53"/>
      <c r="T62" s="257">
        <f>SUM(P$53:S62)</f>
        <v>48</v>
      </c>
      <c r="U62" s="258">
        <f t="shared" si="11"/>
        <v>4</v>
      </c>
      <c r="V62" s="259">
        <f>SUM(W$53:Z62)</f>
        <v>44</v>
      </c>
      <c r="W62" s="53"/>
      <c r="X62" s="53" t="s">
        <v>2</v>
      </c>
      <c r="Y62" s="52"/>
      <c r="Z62" s="53"/>
      <c r="AA62" s="248"/>
      <c r="AB62" s="50"/>
      <c r="AC62" s="34"/>
      <c r="AD62" s="38"/>
      <c r="AE62" s="38"/>
      <c r="AF62" s="34"/>
      <c r="AG62" s="256"/>
      <c r="AH62" s="248"/>
      <c r="AI62" s="256"/>
      <c r="AJ62" s="34"/>
      <c r="AK62" s="38"/>
      <c r="AL62" s="38"/>
      <c r="AM62" s="34"/>
      <c r="AN62" s="248"/>
      <c r="AO62" s="56">
        <v>10</v>
      </c>
      <c r="AP62" s="53"/>
      <c r="AQ62" s="565">
        <v>3</v>
      </c>
      <c r="AR62" s="52"/>
      <c r="AS62" s="53"/>
      <c r="AT62" s="257">
        <f>SUM(AP$53:AS62)</f>
        <v>50</v>
      </c>
      <c r="AU62" s="258">
        <f>AT62-AV62</f>
        <v>24</v>
      </c>
      <c r="AV62" s="259">
        <f>SUM(AW$53:AZ62)</f>
        <v>26</v>
      </c>
      <c r="AW62" s="53"/>
      <c r="AX62" s="52"/>
      <c r="AY62" s="52"/>
      <c r="AZ62" s="53"/>
      <c r="BA62" s="249"/>
      <c r="BB62" s="533">
        <v>10</v>
      </c>
      <c r="BC62" s="532"/>
      <c r="BD62" s="532" t="s">
        <v>2</v>
      </c>
      <c r="BE62" s="531"/>
      <c r="BF62" s="532"/>
      <c r="BG62" s="613">
        <f>SUM(BC$53:BF62)</f>
        <v>42</v>
      </c>
      <c r="BH62" s="614">
        <f>BG62-BI62</f>
        <v>-1</v>
      </c>
      <c r="BI62" s="615">
        <f>SUM(BJ$53:BM62)</f>
        <v>43</v>
      </c>
      <c r="BJ62" s="532"/>
      <c r="BK62" s="531">
        <v>4</v>
      </c>
      <c r="BL62" s="531"/>
      <c r="BM62" s="532"/>
      <c r="BN62" s="605"/>
      <c r="BO62" s="533">
        <v>10</v>
      </c>
      <c r="BP62" s="532"/>
      <c r="BQ62" s="532">
        <v>3</v>
      </c>
      <c r="BR62" s="531"/>
      <c r="BS62" s="532"/>
      <c r="BT62" s="613">
        <f>SUM(BP$53:BS62)</f>
        <v>42</v>
      </c>
      <c r="BU62" s="614">
        <f>BT62-BV62</f>
        <v>-8</v>
      </c>
      <c r="BV62" s="615">
        <f>SUM(BW$53:BZ62)</f>
        <v>50</v>
      </c>
      <c r="BW62" s="532"/>
      <c r="BX62" s="565">
        <v>5</v>
      </c>
      <c r="BY62" s="531"/>
      <c r="BZ62" s="532"/>
      <c r="CA62" s="605"/>
    </row>
    <row r="63" spans="1:79" ht="15">
      <c r="A63" s="1537"/>
      <c r="B63" s="517"/>
      <c r="C63" s="517"/>
      <c r="D63" s="517"/>
      <c r="E63" s="517"/>
      <c r="F63" s="517"/>
      <c r="G63" s="517"/>
      <c r="H63" s="517"/>
      <c r="I63" s="517"/>
      <c r="J63" s="517"/>
      <c r="K63" s="517"/>
      <c r="L63" s="517"/>
      <c r="M63" s="517"/>
      <c r="N63" s="248"/>
      <c r="O63" s="51">
        <v>11</v>
      </c>
      <c r="P63" s="52"/>
      <c r="Q63" s="53"/>
      <c r="R63" s="565">
        <v>2</v>
      </c>
      <c r="S63" s="53"/>
      <c r="T63" s="257">
        <f>SUM(P$53:S63)</f>
        <v>50</v>
      </c>
      <c r="U63" s="258">
        <f t="shared" si="11"/>
        <v>6</v>
      </c>
      <c r="V63" s="259">
        <f>SUM(W$53:Z63)</f>
        <v>44</v>
      </c>
      <c r="W63" s="52"/>
      <c r="X63" s="53"/>
      <c r="Y63" s="53"/>
      <c r="Z63" s="53"/>
      <c r="AA63" s="248"/>
      <c r="AB63" s="50"/>
      <c r="AC63" s="34"/>
      <c r="AD63" s="250"/>
      <c r="AE63" s="250"/>
      <c r="AF63" s="34"/>
      <c r="AG63" s="250"/>
      <c r="AH63" s="248"/>
      <c r="AI63" s="248"/>
      <c r="AJ63" s="34"/>
      <c r="AK63" s="250"/>
      <c r="AL63" s="250"/>
      <c r="AM63" s="34"/>
      <c r="AN63" s="248"/>
      <c r="AO63" s="517"/>
      <c r="AP63" s="517"/>
      <c r="AQ63" s="517"/>
      <c r="AR63" s="517"/>
      <c r="AS63" s="517"/>
      <c r="AT63" s="517"/>
      <c r="AU63" s="517"/>
      <c r="AV63" s="517"/>
      <c r="AW63" s="517"/>
      <c r="AX63" s="517"/>
      <c r="AY63" s="517"/>
      <c r="AZ63" s="517"/>
      <c r="BA63" s="249"/>
      <c r="BB63" s="533">
        <v>11</v>
      </c>
      <c r="BC63" s="531"/>
      <c r="BD63" s="532"/>
      <c r="BE63" s="531" t="s">
        <v>2</v>
      </c>
      <c r="BF63" s="532"/>
      <c r="BG63" s="613">
        <f>SUM(BC$53:BF63)</f>
        <v>42</v>
      </c>
      <c r="BH63" s="614">
        <f>BG63-BI63</f>
        <v>-4</v>
      </c>
      <c r="BI63" s="615">
        <f>SUM(BJ$53:BM63)</f>
        <v>46</v>
      </c>
      <c r="BJ63" s="531"/>
      <c r="BK63" s="532"/>
      <c r="BL63" s="531">
        <v>3</v>
      </c>
      <c r="BM63" s="532"/>
      <c r="BN63" s="605"/>
      <c r="CA63" s="605"/>
    </row>
    <row r="64" spans="1:79" ht="15">
      <c r="A64" s="1537"/>
      <c r="N64" s="248"/>
      <c r="O64" s="517"/>
      <c r="P64" s="517"/>
      <c r="Q64" s="517"/>
      <c r="R64" s="517"/>
      <c r="S64" s="517"/>
      <c r="T64" s="517"/>
      <c r="U64" s="517"/>
      <c r="V64" s="517"/>
      <c r="W64" s="517"/>
      <c r="X64" s="517"/>
      <c r="Y64" s="517"/>
      <c r="Z64" s="517"/>
      <c r="AA64" s="248"/>
      <c r="AB64" s="50"/>
      <c r="AC64" s="34"/>
      <c r="AD64" s="250"/>
      <c r="AE64" s="250"/>
      <c r="AF64" s="34"/>
      <c r="AG64" s="250"/>
      <c r="AH64" s="248"/>
      <c r="AI64" s="248"/>
      <c r="AJ64" s="34"/>
      <c r="AK64" s="250"/>
      <c r="AL64" s="250"/>
      <c r="AM64" s="34"/>
      <c r="AN64" s="248"/>
      <c r="BA64" s="249"/>
      <c r="BB64" s="530">
        <v>12</v>
      </c>
      <c r="BC64" s="531"/>
      <c r="BD64" s="532"/>
      <c r="BE64" s="532"/>
      <c r="BF64" s="565">
        <v>8</v>
      </c>
      <c r="BG64" s="613">
        <f>SUM(BC$53:BF64)</f>
        <v>50</v>
      </c>
      <c r="BH64" s="614">
        <f>BG64-BI64</f>
        <v>4</v>
      </c>
      <c r="BI64" s="615">
        <f>SUM(BJ$53:BM64)</f>
        <v>46</v>
      </c>
      <c r="BJ64" s="531"/>
      <c r="BK64" s="532"/>
      <c r="BL64" s="532"/>
      <c r="BM64" s="532"/>
      <c r="BN64" s="605"/>
      <c r="CA64" s="605"/>
    </row>
    <row r="65" spans="1:79" ht="15">
      <c r="A65" s="1537"/>
      <c r="N65" s="248"/>
      <c r="AA65" s="248"/>
      <c r="AB65" s="61"/>
      <c r="AC65" s="38"/>
      <c r="AD65" s="38"/>
      <c r="AE65" s="38"/>
      <c r="AF65" s="38"/>
      <c r="AG65" s="62"/>
      <c r="AH65" s="248"/>
      <c r="AI65" s="62"/>
      <c r="AJ65" s="38"/>
      <c r="AK65" s="38"/>
      <c r="AL65" s="38"/>
      <c r="AM65" s="63"/>
      <c r="AN65" s="248"/>
      <c r="BA65" s="249"/>
      <c r="BN65" s="605"/>
      <c r="CA65" s="605"/>
    </row>
    <row r="66" spans="1:79" ht="15">
      <c r="A66" s="1537"/>
      <c r="B66" s="64" t="s">
        <v>3</v>
      </c>
      <c r="C66" s="52">
        <f>SUM(C53:C64)</f>
        <v>23</v>
      </c>
      <c r="D66" s="65">
        <f>SUM(D53:D64)</f>
        <v>12</v>
      </c>
      <c r="E66" s="65">
        <f>SUM(E53:E64)</f>
        <v>5</v>
      </c>
      <c r="F66" s="52">
        <f>SUM(F53:F64)</f>
        <v>4</v>
      </c>
      <c r="G66" s="66">
        <f>SUM(C66:F66)</f>
        <v>44</v>
      </c>
      <c r="H66" s="251"/>
      <c r="I66" s="66">
        <f>SUM(J66:M66)</f>
        <v>50</v>
      </c>
      <c r="J66" s="52">
        <f>SUM(J53:J64)</f>
        <v>26</v>
      </c>
      <c r="K66" s="52">
        <f>SUM(K53:K64)</f>
        <v>10</v>
      </c>
      <c r="L66" s="52">
        <f>SUM(L53:L64)</f>
        <v>3</v>
      </c>
      <c r="M66" s="52">
        <f>SUM(M53:M64)</f>
        <v>11</v>
      </c>
      <c r="N66" s="248"/>
      <c r="O66" s="64" t="s">
        <v>3</v>
      </c>
      <c r="P66" s="52">
        <f>SUM(P53:P64)</f>
        <v>13</v>
      </c>
      <c r="Q66" s="65">
        <f>SUM(Q53:Q64)</f>
        <v>12</v>
      </c>
      <c r="R66" s="52">
        <f>SUM(R53:R64)</f>
        <v>8</v>
      </c>
      <c r="S66" s="52">
        <f>SUM(S53:S64)</f>
        <v>17</v>
      </c>
      <c r="T66" s="66">
        <f>SUM(P66:S66)</f>
        <v>50</v>
      </c>
      <c r="U66" s="251"/>
      <c r="V66" s="66">
        <f>SUM(W66:Z66)</f>
        <v>44</v>
      </c>
      <c r="W66" s="52">
        <f>SUM(W53:W64)</f>
        <v>20</v>
      </c>
      <c r="X66" s="52">
        <f>SUM(X53:X64)</f>
        <v>5</v>
      </c>
      <c r="Y66" s="52">
        <f>SUM(Y53:Y64)</f>
        <v>2</v>
      </c>
      <c r="Z66" s="52">
        <f>SUM(Z53:Z64)</f>
        <v>17</v>
      </c>
      <c r="AA66" s="248"/>
      <c r="AB66" s="61"/>
      <c r="AC66" s="34"/>
      <c r="AD66" s="34"/>
      <c r="AE66" s="34"/>
      <c r="AF66" s="34"/>
      <c r="AG66" s="62"/>
      <c r="AH66" s="248"/>
      <c r="AI66" s="62"/>
      <c r="AJ66" s="34"/>
      <c r="AK66" s="34"/>
      <c r="AL66" s="34"/>
      <c r="AM66" s="34"/>
      <c r="AN66" s="248"/>
      <c r="AO66" s="64" t="s">
        <v>3</v>
      </c>
      <c r="AP66" s="52">
        <f>SUM(AP53:AP64)</f>
        <v>15</v>
      </c>
      <c r="AQ66" s="65">
        <f>SUM(AQ53:AQ64)</f>
        <v>16</v>
      </c>
      <c r="AR66" s="65">
        <f>SUM(AR53:AR64)</f>
        <v>8</v>
      </c>
      <c r="AS66" s="52">
        <f>SUM(AS53:AS64)</f>
        <v>11</v>
      </c>
      <c r="AT66" s="66">
        <f>SUM(AP66:AS66)</f>
        <v>50</v>
      </c>
      <c r="AU66" s="251"/>
      <c r="AV66" s="66">
        <f>SUM(AW66:AZ66)</f>
        <v>26</v>
      </c>
      <c r="AW66" s="52">
        <f>SUM(AW53:AW64)</f>
        <v>15</v>
      </c>
      <c r="AX66" s="52">
        <f>SUM(AX53:AX64)</f>
        <v>6</v>
      </c>
      <c r="AY66" s="52">
        <f>SUM(AY53:AY64)</f>
        <v>0</v>
      </c>
      <c r="AZ66" s="52">
        <f>SUM(AZ53:AZ64)</f>
        <v>5</v>
      </c>
      <c r="BA66" s="249"/>
      <c r="BB66" s="539" t="s">
        <v>3</v>
      </c>
      <c r="BC66" s="531">
        <f>SUM(BC53:BC64)</f>
        <v>19</v>
      </c>
      <c r="BD66" s="540">
        <f>SUM(BD53:BD64)</f>
        <v>5</v>
      </c>
      <c r="BE66" s="540">
        <f>SUM(BE53:BE64)</f>
        <v>11</v>
      </c>
      <c r="BF66" s="531">
        <f>SUM(BF53:BF64)</f>
        <v>15</v>
      </c>
      <c r="BG66" s="541">
        <f>SUM(BC66:BF66)</f>
        <v>50</v>
      </c>
      <c r="BH66" s="607"/>
      <c r="BI66" s="541">
        <f>SUM(BJ66:BM66)</f>
        <v>46</v>
      </c>
      <c r="BJ66" s="531">
        <f>SUM(BJ53:BJ64)</f>
        <v>11</v>
      </c>
      <c r="BK66" s="531">
        <f>SUM(BK53:BK64)</f>
        <v>22</v>
      </c>
      <c r="BL66" s="531">
        <f>SUM(BL53:BL64)</f>
        <v>3</v>
      </c>
      <c r="BM66" s="531">
        <f>SUM(BM53:BM64)</f>
        <v>10</v>
      </c>
      <c r="BN66" s="605"/>
      <c r="BO66" s="539" t="s">
        <v>3</v>
      </c>
      <c r="BP66" s="531">
        <f>SUM(BP53:BP64)</f>
        <v>17</v>
      </c>
      <c r="BQ66" s="540">
        <f>SUM(BQ53:BQ64)</f>
        <v>9</v>
      </c>
      <c r="BR66" s="540">
        <f>SUM(BR53:BR64)</f>
        <v>8</v>
      </c>
      <c r="BS66" s="531">
        <f>SUM(BS53:BS64)</f>
        <v>8</v>
      </c>
      <c r="BT66" s="541">
        <f>SUM(BP66:BS66)</f>
        <v>42</v>
      </c>
      <c r="BU66" s="607"/>
      <c r="BV66" s="541">
        <f>SUM(BW66:BZ66)</f>
        <v>50</v>
      </c>
      <c r="BW66" s="531">
        <f>SUM(BW53:BW64)</f>
        <v>17</v>
      </c>
      <c r="BX66" s="531">
        <f>SUM(BX53:BX64)</f>
        <v>22</v>
      </c>
      <c r="BY66" s="531">
        <f>SUM(BY53:BY64)</f>
        <v>6</v>
      </c>
      <c r="BZ66" s="531">
        <f>SUM(BZ53:BZ64)</f>
        <v>5</v>
      </c>
      <c r="CA66" s="605"/>
    </row>
    <row r="67" spans="1:79" ht="15">
      <c r="A67" s="1537"/>
      <c r="B67" s="67" t="s">
        <v>4</v>
      </c>
      <c r="C67" s="53">
        <f>COUNTA(C53:C64)</f>
        <v>3</v>
      </c>
      <c r="D67" s="53">
        <f>COUNTA(D53:D64)</f>
        <v>2</v>
      </c>
      <c r="E67" s="53">
        <f>COUNTA(E53:E64)</f>
        <v>2</v>
      </c>
      <c r="F67" s="53">
        <f>COUNTA(F53:F64)</f>
        <v>2</v>
      </c>
      <c r="G67" s="66">
        <f>SUM(C67:F67)</f>
        <v>9</v>
      </c>
      <c r="H67" s="251"/>
      <c r="I67" s="66">
        <f>SUM(J67:M67)</f>
        <v>9</v>
      </c>
      <c r="J67" s="53">
        <f>COUNTA(J53:J64)</f>
        <v>3</v>
      </c>
      <c r="K67" s="53">
        <f>COUNTA(K53:K64)</f>
        <v>2</v>
      </c>
      <c r="L67" s="53">
        <f>COUNTA(L53:L64)</f>
        <v>2</v>
      </c>
      <c r="M67" s="53">
        <f>COUNTA(M53:M64)</f>
        <v>2</v>
      </c>
      <c r="N67" s="248"/>
      <c r="O67" s="67" t="s">
        <v>4</v>
      </c>
      <c r="P67" s="53">
        <f>COUNTA(P53:P64)</f>
        <v>3</v>
      </c>
      <c r="Q67" s="53">
        <f>COUNTA(Q53:Q64)</f>
        <v>3</v>
      </c>
      <c r="R67" s="53">
        <f>COUNTA(R53:R64)</f>
        <v>3</v>
      </c>
      <c r="S67" s="53">
        <f>COUNTA(S53:S64)</f>
        <v>2</v>
      </c>
      <c r="T67" s="66">
        <f>SUM(P67:S67)</f>
        <v>11</v>
      </c>
      <c r="U67" s="251"/>
      <c r="V67" s="66">
        <f>SUM(W67:Z67)</f>
        <v>10</v>
      </c>
      <c r="W67" s="53">
        <f>COUNTA(W53:W64)</f>
        <v>3</v>
      </c>
      <c r="X67" s="53">
        <f>COUNTA(X53:X64)</f>
        <v>3</v>
      </c>
      <c r="Y67" s="53">
        <f>COUNTA(Y53:Y64)</f>
        <v>2</v>
      </c>
      <c r="Z67" s="53">
        <f>COUNTA(Z53:Z64)</f>
        <v>2</v>
      </c>
      <c r="AA67" s="248"/>
      <c r="AB67" s="61"/>
      <c r="AC67" s="38"/>
      <c r="AD67" s="38"/>
      <c r="AE67" s="38"/>
      <c r="AF67" s="38"/>
      <c r="AG67" s="62"/>
      <c r="AH67" s="248"/>
      <c r="AI67" s="62"/>
      <c r="AJ67" s="38"/>
      <c r="AK67" s="63"/>
      <c r="AL67" s="63"/>
      <c r="AM67" s="38"/>
      <c r="AN67" s="248"/>
      <c r="AO67" s="67" t="s">
        <v>4</v>
      </c>
      <c r="AP67" s="53">
        <f>COUNTA(AP53:AP64)</f>
        <v>3</v>
      </c>
      <c r="AQ67" s="53">
        <f>COUNTA(AQ53:AQ64)</f>
        <v>3</v>
      </c>
      <c r="AR67" s="53">
        <f>COUNTA(AR53:AR64)</f>
        <v>2</v>
      </c>
      <c r="AS67" s="53">
        <f>COUNTA(AS53:AS64)</f>
        <v>2</v>
      </c>
      <c r="AT67" s="66">
        <f>SUM(AP67:AS67)</f>
        <v>10</v>
      </c>
      <c r="AU67" s="251"/>
      <c r="AV67" s="66">
        <f>SUM(AW67:AZ67)</f>
        <v>9</v>
      </c>
      <c r="AW67" s="53">
        <f>COUNTA(AW53:AW64)</f>
        <v>3</v>
      </c>
      <c r="AX67" s="53">
        <f>COUNTA(AX53:AX64)</f>
        <v>2</v>
      </c>
      <c r="AY67" s="53">
        <f>COUNTA(AY53:AY64)</f>
        <v>2</v>
      </c>
      <c r="AZ67" s="53">
        <f>COUNTA(AZ53:AZ64)</f>
        <v>2</v>
      </c>
      <c r="BA67" s="249"/>
      <c r="BB67" s="542" t="s">
        <v>4</v>
      </c>
      <c r="BC67" s="532">
        <f>COUNTA(BC53:BC64)</f>
        <v>3</v>
      </c>
      <c r="BD67" s="532">
        <f>COUNTA(BD53:BD64)</f>
        <v>3</v>
      </c>
      <c r="BE67" s="532">
        <f>COUNTA(BE53:BE64)</f>
        <v>3</v>
      </c>
      <c r="BF67" s="532">
        <f>COUNTA(BF53:BF64)</f>
        <v>3</v>
      </c>
      <c r="BG67" s="541">
        <f>SUM(BC67:BF67)</f>
        <v>12</v>
      </c>
      <c r="BH67" s="607"/>
      <c r="BI67" s="541">
        <f>SUM(BJ67:BM67)</f>
        <v>11</v>
      </c>
      <c r="BJ67" s="532">
        <f>COUNTA(BJ53:BJ64)</f>
        <v>3</v>
      </c>
      <c r="BK67" s="532">
        <f>COUNTA(BK53:BK64)</f>
        <v>3</v>
      </c>
      <c r="BL67" s="532">
        <f>COUNTA(BL53:BL64)</f>
        <v>3</v>
      </c>
      <c r="BM67" s="532">
        <f>COUNTA(BM53:BM64)</f>
        <v>2</v>
      </c>
      <c r="BN67" s="605"/>
      <c r="BO67" s="542" t="s">
        <v>4</v>
      </c>
      <c r="BP67" s="532">
        <f>COUNTA(BP53:BP64)</f>
        <v>3</v>
      </c>
      <c r="BQ67" s="532">
        <f>COUNTA(BQ53:BQ64)</f>
        <v>3</v>
      </c>
      <c r="BR67" s="532">
        <f>COUNTA(BR53:BR64)</f>
        <v>2</v>
      </c>
      <c r="BS67" s="532">
        <f>COUNTA(BS53:BS64)</f>
        <v>2</v>
      </c>
      <c r="BT67" s="541">
        <f>SUM(BP67:BS67)</f>
        <v>10</v>
      </c>
      <c r="BU67" s="607"/>
      <c r="BV67" s="541">
        <f>SUM(BW67:BZ67)</f>
        <v>10</v>
      </c>
      <c r="BW67" s="532">
        <f>COUNTA(BW53:BW64)</f>
        <v>3</v>
      </c>
      <c r="BX67" s="532">
        <f>COUNTA(BX53:BX64)</f>
        <v>3</v>
      </c>
      <c r="BY67" s="532">
        <f>COUNTA(BY53:BY64)</f>
        <v>2</v>
      </c>
      <c r="BZ67" s="532">
        <f>COUNTA(BZ53:BZ64)</f>
        <v>2</v>
      </c>
      <c r="CA67" s="605"/>
    </row>
    <row r="68" spans="1:79" ht="15">
      <c r="A68" s="1537"/>
      <c r="B68" s="64" t="s">
        <v>6</v>
      </c>
      <c r="C68" s="65">
        <f>C67-COUNT(C53:C64)</f>
        <v>0</v>
      </c>
      <c r="D68" s="65">
        <f>D67-COUNT(D53:D64)</f>
        <v>0</v>
      </c>
      <c r="E68" s="65">
        <f>E67-COUNT(E53:E64)</f>
        <v>1</v>
      </c>
      <c r="F68" s="65">
        <f>F67-COUNT(F53:F64)</f>
        <v>1</v>
      </c>
      <c r="G68" s="66">
        <f>SUM(C68:F68)</f>
        <v>2</v>
      </c>
      <c r="H68" s="251"/>
      <c r="I68" s="66">
        <f>SUM(J68:M68)</f>
        <v>1</v>
      </c>
      <c r="J68" s="52">
        <f>J67-COUNT(J53:J64)</f>
        <v>0</v>
      </c>
      <c r="K68" s="52">
        <f>K67-COUNT(K53:K64)</f>
        <v>0</v>
      </c>
      <c r="L68" s="52">
        <f>L67-COUNT(L53:L64)</f>
        <v>1</v>
      </c>
      <c r="M68" s="52">
        <f>M67-COUNT(M53:M64)</f>
        <v>0</v>
      </c>
      <c r="N68" s="248"/>
      <c r="O68" s="64" t="s">
        <v>6</v>
      </c>
      <c r="P68" s="65">
        <f>P67-COUNT(P53:P64)</f>
        <v>1</v>
      </c>
      <c r="Q68" s="65">
        <f>Q67-COUNT(Q53:Q64)</f>
        <v>1</v>
      </c>
      <c r="R68" s="65">
        <f>R67-COUNT(R53:R64)</f>
        <v>0</v>
      </c>
      <c r="S68" s="65">
        <f>S67-COUNT(S53:S64)</f>
        <v>0</v>
      </c>
      <c r="T68" s="66">
        <f>SUM(P68:S68)</f>
        <v>2</v>
      </c>
      <c r="U68" s="251"/>
      <c r="V68" s="66">
        <f>SUM(W68:Z68)</f>
        <v>3</v>
      </c>
      <c r="W68" s="52">
        <f>W67-COUNT(W53:W64)</f>
        <v>0</v>
      </c>
      <c r="X68" s="52">
        <f>X67-COUNT(X53:X64)</f>
        <v>2</v>
      </c>
      <c r="Y68" s="52">
        <f>Y67-COUNT(Y53:Y64)</f>
        <v>1</v>
      </c>
      <c r="Z68" s="52">
        <f>Z67-COUNT(Z53:Z64)</f>
        <v>0</v>
      </c>
      <c r="AA68" s="248"/>
      <c r="AB68" s="61"/>
      <c r="AC68" s="68"/>
      <c r="AD68" s="69"/>
      <c r="AE68" s="69"/>
      <c r="AF68" s="69"/>
      <c r="AG68" s="70"/>
      <c r="AH68" s="248"/>
      <c r="AI68" s="70"/>
      <c r="AJ68" s="69"/>
      <c r="AK68" s="71"/>
      <c r="AL68" s="71"/>
      <c r="AM68" s="69"/>
      <c r="AN68" s="248"/>
      <c r="AO68" s="64" t="s">
        <v>6</v>
      </c>
      <c r="AP68" s="65">
        <f>AP67-COUNT(AP53:AP64)</f>
        <v>0</v>
      </c>
      <c r="AQ68" s="65">
        <f>AQ67-COUNT(AQ53:AQ64)</f>
        <v>0</v>
      </c>
      <c r="AR68" s="65">
        <f>AR67-COUNT(AR53:AR64)</f>
        <v>0</v>
      </c>
      <c r="AS68" s="65">
        <f>AS67-COUNT(AS53:AS64)</f>
        <v>1</v>
      </c>
      <c r="AT68" s="66">
        <f>SUM(AP68:AS68)</f>
        <v>1</v>
      </c>
      <c r="AU68" s="251"/>
      <c r="AV68" s="66">
        <f>SUM(AW68:AZ68)</f>
        <v>4</v>
      </c>
      <c r="AW68" s="52">
        <f>AW67-COUNT(AW53:AW64)</f>
        <v>0</v>
      </c>
      <c r="AX68" s="52">
        <f>AX67-COUNT(AX53:AX64)</f>
        <v>1</v>
      </c>
      <c r="AY68" s="52">
        <f>AY67-COUNT(AY53:AY64)</f>
        <v>2</v>
      </c>
      <c r="AZ68" s="52">
        <f>AZ67-COUNT(AZ53:AZ64)</f>
        <v>1</v>
      </c>
      <c r="BA68" s="249"/>
      <c r="BB68" s="539" t="s">
        <v>6</v>
      </c>
      <c r="BC68" s="540">
        <f>BC67-COUNT(BC53:BC64)</f>
        <v>1</v>
      </c>
      <c r="BD68" s="540">
        <f>BD67-COUNT(BD53:BD64)</f>
        <v>2</v>
      </c>
      <c r="BE68" s="540">
        <f>BE67-COUNT(BE53:BE64)</f>
        <v>1</v>
      </c>
      <c r="BF68" s="540">
        <f>BF67-COUNT(BF53:BF64)</f>
        <v>0</v>
      </c>
      <c r="BG68" s="541">
        <f>SUM(BC68:BF68)</f>
        <v>4</v>
      </c>
      <c r="BH68" s="607"/>
      <c r="BI68" s="541">
        <f>SUM(BJ68:BM68)</f>
        <v>4</v>
      </c>
      <c r="BJ68" s="531">
        <f>BJ67-COUNT(BJ53:BJ64)</f>
        <v>1</v>
      </c>
      <c r="BK68" s="531">
        <f>BK67-COUNT(BK53:BK64)</f>
        <v>0</v>
      </c>
      <c r="BL68" s="531">
        <f>BL67-COUNT(BL53:BL64)</f>
        <v>2</v>
      </c>
      <c r="BM68" s="531">
        <f>BM67-COUNT(BM53:BM64)</f>
        <v>1</v>
      </c>
      <c r="BN68" s="605"/>
      <c r="BO68" s="539" t="s">
        <v>6</v>
      </c>
      <c r="BP68" s="540">
        <f>BP67-COUNT(BP53:BP64)</f>
        <v>0</v>
      </c>
      <c r="BQ68" s="540">
        <f>BQ67-COUNT(BQ53:BQ64)</f>
        <v>0</v>
      </c>
      <c r="BR68" s="540">
        <f>BR67-COUNT(BR53:BR64)</f>
        <v>0</v>
      </c>
      <c r="BS68" s="540">
        <f>BS67-COUNT(BS53:BS64)</f>
        <v>0</v>
      </c>
      <c r="BT68" s="541">
        <f>SUM(BP68:BS68)</f>
        <v>0</v>
      </c>
      <c r="BU68" s="607"/>
      <c r="BV68" s="541">
        <f>SUM(BW68:BZ68)</f>
        <v>0</v>
      </c>
      <c r="BW68" s="531">
        <f>BW67-COUNT(BW53:BW64)</f>
        <v>0</v>
      </c>
      <c r="BX68" s="531">
        <f>BX67-COUNT(BX53:BX64)</f>
        <v>0</v>
      </c>
      <c r="BY68" s="531">
        <f>BY67-COUNT(BY53:BY64)</f>
        <v>0</v>
      </c>
      <c r="BZ68" s="531">
        <f>BZ67-COUNT(BZ53:BZ64)</f>
        <v>0</v>
      </c>
      <c r="CA68" s="605"/>
    </row>
    <row r="69" spans="1:79" ht="15">
      <c r="A69" s="1537"/>
      <c r="B69" s="64" t="s">
        <v>12</v>
      </c>
      <c r="C69" s="72">
        <f>C68/C67</f>
        <v>0</v>
      </c>
      <c r="D69" s="73">
        <f>D68/D67</f>
        <v>0</v>
      </c>
      <c r="E69" s="73">
        <f>E68/E67</f>
        <v>0.5</v>
      </c>
      <c r="F69" s="73">
        <f>F68/F67</f>
        <v>0.5</v>
      </c>
      <c r="G69" s="74">
        <f>G68/G67</f>
        <v>0.22222222222222221</v>
      </c>
      <c r="H69" s="251"/>
      <c r="I69" s="74">
        <f>I68/I67</f>
        <v>0.1111111111111111</v>
      </c>
      <c r="J69" s="72">
        <f>J68/J67</f>
        <v>0</v>
      </c>
      <c r="K69" s="72">
        <f>K68/K67</f>
        <v>0</v>
      </c>
      <c r="L69" s="72">
        <f>L68/L67</f>
        <v>0.5</v>
      </c>
      <c r="M69" s="72">
        <f>M68/M67</f>
        <v>0</v>
      </c>
      <c r="N69" s="248"/>
      <c r="O69" s="64" t="s">
        <v>12</v>
      </c>
      <c r="P69" s="72">
        <f>P68/P67</f>
        <v>0.33333333333333331</v>
      </c>
      <c r="Q69" s="73">
        <f>Q68/Q67</f>
        <v>0.33333333333333331</v>
      </c>
      <c r="R69" s="73">
        <f>R68/R67</f>
        <v>0</v>
      </c>
      <c r="S69" s="73">
        <f>S68/S67</f>
        <v>0</v>
      </c>
      <c r="T69" s="74">
        <f>T68/T67</f>
        <v>0.18181818181818182</v>
      </c>
      <c r="U69" s="251"/>
      <c r="V69" s="74">
        <f>V68/V67</f>
        <v>0.3</v>
      </c>
      <c r="W69" s="72">
        <f>W68/W67</f>
        <v>0</v>
      </c>
      <c r="X69" s="72">
        <f>X68/X67</f>
        <v>0.66666666666666663</v>
      </c>
      <c r="Y69" s="72">
        <f>Y68/Y67</f>
        <v>0.5</v>
      </c>
      <c r="Z69" s="72">
        <f>Z68/Z67</f>
        <v>0</v>
      </c>
      <c r="AA69" s="248"/>
      <c r="AB69" s="61"/>
      <c r="AC69" s="76"/>
      <c r="AD69" s="76"/>
      <c r="AE69" s="76"/>
      <c r="AF69" s="76"/>
      <c r="AG69" s="77"/>
      <c r="AH69" s="248"/>
      <c r="AI69" s="77"/>
      <c r="AJ69" s="76"/>
      <c r="AK69" s="76"/>
      <c r="AL69" s="76"/>
      <c r="AM69" s="78"/>
      <c r="AN69" s="248"/>
      <c r="AO69" s="64" t="s">
        <v>12</v>
      </c>
      <c r="AP69" s="72">
        <f>AP68/AP67</f>
        <v>0</v>
      </c>
      <c r="AQ69" s="73">
        <f>AQ68/AQ67</f>
        <v>0</v>
      </c>
      <c r="AR69" s="73">
        <f>AR68/AR67</f>
        <v>0</v>
      </c>
      <c r="AS69" s="73">
        <f>AS68/AS67</f>
        <v>0.5</v>
      </c>
      <c r="AT69" s="74">
        <f>AT68/AT67</f>
        <v>0.1</v>
      </c>
      <c r="AU69" s="251"/>
      <c r="AV69" s="74">
        <f>AV68/AV67</f>
        <v>0.44444444444444442</v>
      </c>
      <c r="AW69" s="72">
        <f>AW68/AW67</f>
        <v>0</v>
      </c>
      <c r="AX69" s="72">
        <f>AX68/AX67</f>
        <v>0.5</v>
      </c>
      <c r="AY69" s="72">
        <f>AY68/AY67</f>
        <v>1</v>
      </c>
      <c r="AZ69" s="72">
        <f>AZ68/AZ67</f>
        <v>0.5</v>
      </c>
      <c r="BA69" s="249"/>
      <c r="BB69" s="539" t="s">
        <v>12</v>
      </c>
      <c r="BC69" s="546">
        <f>BC68/BC67</f>
        <v>0.33333333333333331</v>
      </c>
      <c r="BD69" s="547">
        <f>BD68/BD67</f>
        <v>0.66666666666666663</v>
      </c>
      <c r="BE69" s="547">
        <f>BE68/BE67</f>
        <v>0.33333333333333331</v>
      </c>
      <c r="BF69" s="547">
        <f>BF68/BF67</f>
        <v>0</v>
      </c>
      <c r="BG69" s="548">
        <f>BG68/BG67</f>
        <v>0.33333333333333331</v>
      </c>
      <c r="BH69" s="607"/>
      <c r="BI69" s="548">
        <f>BI68/BI67</f>
        <v>0.36363636363636365</v>
      </c>
      <c r="BJ69" s="546">
        <f>BJ68/BJ67</f>
        <v>0.33333333333333331</v>
      </c>
      <c r="BK69" s="546">
        <f>BK68/BK67</f>
        <v>0</v>
      </c>
      <c r="BL69" s="546">
        <f>BL68/BL67</f>
        <v>0.66666666666666663</v>
      </c>
      <c r="BM69" s="546">
        <f>BM68/BM67</f>
        <v>0.5</v>
      </c>
      <c r="BN69" s="605"/>
      <c r="BO69" s="539" t="s">
        <v>12</v>
      </c>
      <c r="BP69" s="546">
        <f>BP68/BP67</f>
        <v>0</v>
      </c>
      <c r="BQ69" s="547">
        <f>BQ68/BQ67</f>
        <v>0</v>
      </c>
      <c r="BR69" s="547">
        <f>BR68/BR67</f>
        <v>0</v>
      </c>
      <c r="BS69" s="547">
        <f>BS68/BS67</f>
        <v>0</v>
      </c>
      <c r="BT69" s="548">
        <f>BT68/BT67</f>
        <v>0</v>
      </c>
      <c r="BU69" s="607"/>
      <c r="BV69" s="548">
        <f>BV68/BV67</f>
        <v>0</v>
      </c>
      <c r="BW69" s="546">
        <f>BW68/BW67</f>
        <v>0</v>
      </c>
      <c r="BX69" s="546">
        <f>BX68/BX67</f>
        <v>0</v>
      </c>
      <c r="BY69" s="546">
        <f>BY68/BY67</f>
        <v>0</v>
      </c>
      <c r="BZ69" s="546">
        <f>BZ68/BZ67</f>
        <v>0</v>
      </c>
      <c r="CA69" s="605"/>
    </row>
    <row r="70" spans="1:79" ht="15">
      <c r="A70" s="1537"/>
      <c r="B70" s="64" t="s">
        <v>5</v>
      </c>
      <c r="C70" s="79">
        <f>C66/C67</f>
        <v>7.666666666666667</v>
      </c>
      <c r="D70" s="80">
        <f>D66/D67</f>
        <v>6</v>
      </c>
      <c r="E70" s="80">
        <f>E66/E67</f>
        <v>2.5</v>
      </c>
      <c r="F70" s="79">
        <f>F66/F67</f>
        <v>2</v>
      </c>
      <c r="G70" s="81">
        <f>G66/G67</f>
        <v>4.8888888888888893</v>
      </c>
      <c r="H70" s="251"/>
      <c r="I70" s="81">
        <f>I66/I67</f>
        <v>5.5555555555555554</v>
      </c>
      <c r="J70" s="79">
        <f>J66/J67</f>
        <v>8.6666666666666661</v>
      </c>
      <c r="K70" s="79">
        <f>K66/K67</f>
        <v>5</v>
      </c>
      <c r="L70" s="79">
        <f>L66/L67</f>
        <v>1.5</v>
      </c>
      <c r="M70" s="79">
        <f>M66/M67</f>
        <v>5.5</v>
      </c>
      <c r="N70" s="248"/>
      <c r="O70" s="64" t="s">
        <v>5</v>
      </c>
      <c r="P70" s="79">
        <f>P66/P67</f>
        <v>4.333333333333333</v>
      </c>
      <c r="Q70" s="80">
        <f>Q66/Q67</f>
        <v>4</v>
      </c>
      <c r="R70" s="79">
        <f>R66/R67</f>
        <v>2.6666666666666665</v>
      </c>
      <c r="S70" s="79">
        <f>S66/S67</f>
        <v>8.5</v>
      </c>
      <c r="T70" s="81">
        <f>T66/T67</f>
        <v>4.5454545454545459</v>
      </c>
      <c r="U70" s="251"/>
      <c r="V70" s="81">
        <f>V66/V67</f>
        <v>4.4000000000000004</v>
      </c>
      <c r="W70" s="79">
        <f>W66/W67</f>
        <v>6.666666666666667</v>
      </c>
      <c r="X70" s="79">
        <f>X66/X67</f>
        <v>1.6666666666666667</v>
      </c>
      <c r="Y70" s="79">
        <f>Y66/Y67</f>
        <v>1</v>
      </c>
      <c r="Z70" s="79">
        <f>Z66/Z67</f>
        <v>8.5</v>
      </c>
      <c r="AA70" s="248"/>
      <c r="AB70" s="61"/>
      <c r="AC70" s="82"/>
      <c r="AD70" s="82"/>
      <c r="AE70" s="82"/>
      <c r="AF70" s="82"/>
      <c r="AG70" s="83"/>
      <c r="AH70" s="248"/>
      <c r="AI70" s="83"/>
      <c r="AJ70" s="82"/>
      <c r="AK70" s="76"/>
      <c r="AL70" s="76"/>
      <c r="AM70" s="78"/>
      <c r="AN70" s="248"/>
      <c r="AO70" s="64" t="s">
        <v>5</v>
      </c>
      <c r="AP70" s="79">
        <f>AP66/AP67</f>
        <v>5</v>
      </c>
      <c r="AQ70" s="80">
        <f>AQ66/AQ67</f>
        <v>5.333333333333333</v>
      </c>
      <c r="AR70" s="80">
        <f>AR66/AR67</f>
        <v>4</v>
      </c>
      <c r="AS70" s="79">
        <f>AS66/AS67</f>
        <v>5.5</v>
      </c>
      <c r="AT70" s="81">
        <f>AT66/AT67</f>
        <v>5</v>
      </c>
      <c r="AU70" s="251"/>
      <c r="AV70" s="81">
        <f>AV66/AV67</f>
        <v>2.8888888888888888</v>
      </c>
      <c r="AW70" s="79">
        <f>AW66/AW67</f>
        <v>5</v>
      </c>
      <c r="AX70" s="79">
        <f>AX66/AX67</f>
        <v>3</v>
      </c>
      <c r="AY70" s="79">
        <f>AY66/AY67</f>
        <v>0</v>
      </c>
      <c r="AZ70" s="79">
        <f>AZ66/AZ67</f>
        <v>2.5</v>
      </c>
      <c r="BA70" s="249"/>
      <c r="BB70" s="539" t="s">
        <v>5</v>
      </c>
      <c r="BC70" s="553">
        <f>BC66/BC67</f>
        <v>6.333333333333333</v>
      </c>
      <c r="BD70" s="554">
        <f>BD66/BD67</f>
        <v>1.6666666666666667</v>
      </c>
      <c r="BE70" s="554">
        <f>BE66/BE67</f>
        <v>3.6666666666666665</v>
      </c>
      <c r="BF70" s="553">
        <f>BF66/BF67</f>
        <v>5</v>
      </c>
      <c r="BG70" s="555">
        <f>BG66/BG67</f>
        <v>4.166666666666667</v>
      </c>
      <c r="BH70" s="607"/>
      <c r="BI70" s="555">
        <f>BI66/BI67</f>
        <v>4.1818181818181817</v>
      </c>
      <c r="BJ70" s="553">
        <f>BJ66/BJ67</f>
        <v>3.6666666666666665</v>
      </c>
      <c r="BK70" s="553">
        <f>BK66/BK67</f>
        <v>7.333333333333333</v>
      </c>
      <c r="BL70" s="553">
        <f>BL66/BL67</f>
        <v>1</v>
      </c>
      <c r="BM70" s="553">
        <f>BM66/BM67</f>
        <v>5</v>
      </c>
      <c r="BN70" s="605"/>
      <c r="BO70" s="539" t="s">
        <v>5</v>
      </c>
      <c r="BP70" s="553">
        <f>BP66/BP67</f>
        <v>5.666666666666667</v>
      </c>
      <c r="BQ70" s="554">
        <f>BQ66/BQ67</f>
        <v>3</v>
      </c>
      <c r="BR70" s="554">
        <f>BR66/BR67</f>
        <v>4</v>
      </c>
      <c r="BS70" s="553">
        <f>BS66/BS67</f>
        <v>4</v>
      </c>
      <c r="BT70" s="555">
        <f>BT66/BT67</f>
        <v>4.2</v>
      </c>
      <c r="BU70" s="607"/>
      <c r="BV70" s="555">
        <f>BV66/BV67</f>
        <v>5</v>
      </c>
      <c r="BW70" s="553">
        <f>BW66/BW67</f>
        <v>5.666666666666667</v>
      </c>
      <c r="BX70" s="553">
        <f>BX66/BX67</f>
        <v>7.333333333333333</v>
      </c>
      <c r="BY70" s="553">
        <f>BY66/BY67</f>
        <v>3</v>
      </c>
      <c r="BZ70" s="553">
        <f>BZ66/BZ67</f>
        <v>2.5</v>
      </c>
      <c r="CA70" s="605"/>
    </row>
    <row r="71" spans="1:79" ht="15">
      <c r="A71" s="1537"/>
      <c r="B71" s="64" t="s">
        <v>8</v>
      </c>
      <c r="C71" s="79">
        <f>C66/(C67-C68)</f>
        <v>7.666666666666667</v>
      </c>
      <c r="D71" s="80">
        <f>D66/(D67-D68)</f>
        <v>6</v>
      </c>
      <c r="E71" s="80">
        <f>E66/(E67-E68)</f>
        <v>5</v>
      </c>
      <c r="F71" s="84">
        <v>0</v>
      </c>
      <c r="G71" s="85">
        <f>G66/(G67-G68)</f>
        <v>6.2857142857142856</v>
      </c>
      <c r="H71" s="251"/>
      <c r="I71" s="85">
        <f>I66/(I67-I68)</f>
        <v>6.25</v>
      </c>
      <c r="J71" s="84">
        <f>J66/(J67-J68)</f>
        <v>8.6666666666666661</v>
      </c>
      <c r="K71" s="84">
        <f>K66/(K67-K68)</f>
        <v>5</v>
      </c>
      <c r="L71" s="84">
        <f>L66/(L67-L68)</f>
        <v>3</v>
      </c>
      <c r="M71" s="84">
        <f>M66/(M67-M68)</f>
        <v>5.5</v>
      </c>
      <c r="N71" s="248"/>
      <c r="O71" s="64" t="s">
        <v>8</v>
      </c>
      <c r="P71" s="79">
        <f>P66/(P67-P68)</f>
        <v>6.5</v>
      </c>
      <c r="Q71" s="80">
        <f>Q66/(Q67-Q68)</f>
        <v>6</v>
      </c>
      <c r="R71" s="84">
        <f>R66/(R67-R68)</f>
        <v>2.6666666666666665</v>
      </c>
      <c r="S71" s="84">
        <f>S66/(S67-S68)</f>
        <v>8.5</v>
      </c>
      <c r="T71" s="85">
        <f>T66/(T67-T68)</f>
        <v>5.5555555555555554</v>
      </c>
      <c r="U71" s="251"/>
      <c r="V71" s="85">
        <f>V66/(V67-V68)</f>
        <v>6.2857142857142856</v>
      </c>
      <c r="W71" s="84">
        <f>W66/(W67-W68)</f>
        <v>6.666666666666667</v>
      </c>
      <c r="X71" s="84">
        <f>X66/(X67-X68)</f>
        <v>5</v>
      </c>
      <c r="Y71" s="84">
        <f>Y66/(Y67-Y68)</f>
        <v>2</v>
      </c>
      <c r="Z71" s="84">
        <f>Z66/(Z67-Z68)</f>
        <v>8.5</v>
      </c>
      <c r="AA71" s="248"/>
      <c r="AB71" s="248"/>
      <c r="AC71" s="248"/>
      <c r="AD71" s="248"/>
      <c r="AE71" s="248"/>
      <c r="AF71" s="248"/>
      <c r="AG71" s="248"/>
      <c r="AH71" s="248"/>
      <c r="AI71" s="248"/>
      <c r="AJ71" s="248"/>
      <c r="AK71" s="248"/>
      <c r="AL71" s="248"/>
      <c r="AM71" s="248"/>
      <c r="AN71" s="248"/>
      <c r="AO71" s="64" t="s">
        <v>8</v>
      </c>
      <c r="AP71" s="79">
        <f>AP66/(AP67-AP68)</f>
        <v>5</v>
      </c>
      <c r="AQ71" s="80">
        <f>AQ66/(AQ67-AQ68)</f>
        <v>5.333333333333333</v>
      </c>
      <c r="AR71" s="80">
        <f>AR66/(AR67-AR68)</f>
        <v>4</v>
      </c>
      <c r="AS71" s="84">
        <f>AS66/(AS67-AS68)</f>
        <v>11</v>
      </c>
      <c r="AT71" s="85">
        <f>AT66/(AT67-AT68)</f>
        <v>5.5555555555555554</v>
      </c>
      <c r="AU71" s="251"/>
      <c r="AV71" s="85">
        <f>AV66/(AV67-AV68)</f>
        <v>5.2</v>
      </c>
      <c r="AW71" s="84">
        <f>AW66/(AW67-AW68)</f>
        <v>5</v>
      </c>
      <c r="AX71" s="84">
        <f>AX66/(AX67-AX68)</f>
        <v>6</v>
      </c>
      <c r="AY71" s="660">
        <v>0</v>
      </c>
      <c r="AZ71" s="84">
        <v>0</v>
      </c>
      <c r="BA71" s="249"/>
      <c r="BB71" s="539" t="s">
        <v>8</v>
      </c>
      <c r="BC71" s="553">
        <f>BC66/(BC67-BC68)</f>
        <v>9.5</v>
      </c>
      <c r="BD71" s="554">
        <f>BD66/(BD67-BD68)</f>
        <v>5</v>
      </c>
      <c r="BE71" s="554">
        <f>BE66/(BE67-BE68)</f>
        <v>5.5</v>
      </c>
      <c r="BF71" s="558">
        <f>BF66/(BF67-BF68)</f>
        <v>5</v>
      </c>
      <c r="BG71" s="559">
        <f>BG66/(BG67-BG68)</f>
        <v>6.25</v>
      </c>
      <c r="BH71" s="607"/>
      <c r="BI71" s="559">
        <f>BI66/(BI67-BI68)</f>
        <v>6.5714285714285712</v>
      </c>
      <c r="BJ71" s="558">
        <f>BJ66/(BJ67-BJ68)</f>
        <v>5.5</v>
      </c>
      <c r="BK71" s="558">
        <f>BK66/(BK67-BK68)</f>
        <v>7.333333333333333</v>
      </c>
      <c r="BL71" s="558">
        <f>BL66/(BL67-BL68)</f>
        <v>3</v>
      </c>
      <c r="BM71" s="558">
        <v>0</v>
      </c>
      <c r="BN71" s="605"/>
      <c r="BO71" s="539" t="s">
        <v>8</v>
      </c>
      <c r="BP71" s="553">
        <f>BP66/(BP67-BP68)</f>
        <v>5.666666666666667</v>
      </c>
      <c r="BQ71" s="554">
        <f>BQ66/(BQ67-BQ68)</f>
        <v>3</v>
      </c>
      <c r="BR71" s="554">
        <f>BR66/(BR67-BR68)</f>
        <v>4</v>
      </c>
      <c r="BS71" s="558">
        <f>BS66/(BS67-BS68)</f>
        <v>4</v>
      </c>
      <c r="BT71" s="559">
        <f>BT66/(BT67-BT68)</f>
        <v>4.2</v>
      </c>
      <c r="BU71" s="607"/>
      <c r="BV71" s="559">
        <f>BV66/(BV67-BV68)</f>
        <v>5</v>
      </c>
      <c r="BW71" s="558">
        <f>BW66/(BW67-BW68)</f>
        <v>5.666666666666667</v>
      </c>
      <c r="BX71" s="558">
        <f>BX66/(BX67-BX68)</f>
        <v>7.333333333333333</v>
      </c>
      <c r="BY71" s="558">
        <f>BY66/(BY67-BY68)</f>
        <v>3</v>
      </c>
      <c r="BZ71" s="558">
        <v>0</v>
      </c>
      <c r="CA71" s="605"/>
    </row>
    <row r="72" spans="1:79" ht="15">
      <c r="A72" s="261"/>
      <c r="B72" s="50"/>
      <c r="C72" s="34"/>
      <c r="D72" s="34"/>
      <c r="E72" s="34"/>
      <c r="F72" s="34"/>
      <c r="G72" s="250"/>
      <c r="H72" s="248"/>
      <c r="I72" s="248"/>
      <c r="J72" s="248"/>
      <c r="K72" s="248"/>
      <c r="L72" s="248"/>
      <c r="M72" s="248"/>
      <c r="N72" s="248"/>
      <c r="O72" s="50"/>
      <c r="P72" s="34"/>
      <c r="Q72" s="34"/>
      <c r="R72" s="34"/>
      <c r="S72" s="34"/>
      <c r="T72" s="248"/>
      <c r="U72" s="248"/>
      <c r="V72" s="248"/>
      <c r="W72" s="248"/>
      <c r="X72" s="248"/>
      <c r="Y72" s="248"/>
      <c r="Z72" s="248"/>
      <c r="AA72" s="248"/>
      <c r="AB72" s="248"/>
      <c r="AC72" s="248"/>
      <c r="AD72" s="248"/>
      <c r="AE72" s="248"/>
      <c r="AF72" s="248"/>
      <c r="AG72" s="248"/>
      <c r="AH72" s="248"/>
      <c r="AI72" s="248"/>
      <c r="AJ72" s="248"/>
      <c r="AK72" s="248"/>
      <c r="AL72" s="248"/>
      <c r="AM72" s="248"/>
      <c r="AN72" s="248"/>
      <c r="AO72" s="248"/>
      <c r="AP72" s="248"/>
      <c r="AQ72" s="248"/>
      <c r="AR72" s="248"/>
      <c r="AS72" s="248"/>
      <c r="AT72" s="248"/>
      <c r="AU72" s="248"/>
      <c r="AV72" s="248"/>
      <c r="AW72" s="248"/>
      <c r="AX72" s="248"/>
      <c r="AY72" s="248"/>
      <c r="AZ72" s="248"/>
      <c r="BA72" s="249"/>
      <c r="BB72" s="604"/>
      <c r="BC72" s="604"/>
      <c r="BD72" s="604"/>
      <c r="BE72" s="604"/>
      <c r="BF72" s="604"/>
      <c r="BG72" s="604"/>
      <c r="BH72" s="604"/>
      <c r="BI72" s="604"/>
      <c r="BJ72" s="604"/>
      <c r="BK72" s="604"/>
      <c r="BL72" s="604"/>
      <c r="BM72" s="604"/>
      <c r="BN72" s="605"/>
      <c r="BO72" s="604"/>
      <c r="BP72" s="604"/>
      <c r="BQ72" s="604"/>
      <c r="BR72" s="604"/>
      <c r="BS72" s="604"/>
      <c r="BT72" s="604"/>
      <c r="BU72" s="604"/>
      <c r="BV72" s="604"/>
      <c r="BW72" s="604"/>
      <c r="BX72" s="604"/>
      <c r="BY72" s="604"/>
      <c r="BZ72" s="604"/>
      <c r="CA72" s="605"/>
    </row>
    <row r="73" spans="1:79" ht="15">
      <c r="A73" s="1537" t="s">
        <v>144</v>
      </c>
      <c r="B73" s="251"/>
      <c r="C73" s="1536" t="s">
        <v>144</v>
      </c>
      <c r="D73" s="1536"/>
      <c r="E73" s="1536"/>
      <c r="F73" s="1536"/>
      <c r="G73" s="251"/>
      <c r="H73" s="251"/>
      <c r="I73" s="251"/>
      <c r="J73" s="1535" t="s">
        <v>131</v>
      </c>
      <c r="K73" s="1535"/>
      <c r="L73" s="1535"/>
      <c r="M73" s="1535"/>
      <c r="N73" s="248"/>
      <c r="O73" s="251"/>
      <c r="P73" s="1535" t="s">
        <v>144</v>
      </c>
      <c r="Q73" s="1535"/>
      <c r="R73" s="1535"/>
      <c r="S73" s="1535"/>
      <c r="T73" s="251"/>
      <c r="U73" s="251"/>
      <c r="V73" s="251"/>
      <c r="W73" s="1539" t="s">
        <v>92</v>
      </c>
      <c r="X73" s="1539"/>
      <c r="Y73" s="1539"/>
      <c r="Z73" s="1539"/>
      <c r="AA73" s="248"/>
      <c r="AB73" s="251"/>
      <c r="AC73" s="1535" t="s">
        <v>144</v>
      </c>
      <c r="AD73" s="1535"/>
      <c r="AE73" s="1535"/>
      <c r="AF73" s="1535"/>
      <c r="AG73" s="251"/>
      <c r="AH73" s="251"/>
      <c r="AI73" s="251"/>
      <c r="AJ73" s="1539" t="s">
        <v>138</v>
      </c>
      <c r="AK73" s="1539"/>
      <c r="AL73" s="1539"/>
      <c r="AM73" s="1539"/>
      <c r="AN73" s="248"/>
      <c r="AO73" s="248"/>
      <c r="AP73" s="248"/>
      <c r="AQ73" s="248"/>
      <c r="AR73" s="248"/>
      <c r="AS73" s="248"/>
      <c r="AT73" s="248"/>
      <c r="AU73" s="248"/>
      <c r="AV73" s="248"/>
      <c r="AW73" s="248"/>
      <c r="AX73" s="248"/>
      <c r="AY73" s="248"/>
      <c r="AZ73" s="248"/>
      <c r="BA73" s="249"/>
      <c r="BB73" s="607"/>
      <c r="BC73" s="1536" t="s">
        <v>144</v>
      </c>
      <c r="BD73" s="1536"/>
      <c r="BE73" s="1536"/>
      <c r="BF73" s="1536"/>
      <c r="BG73" s="607"/>
      <c r="BH73" s="607"/>
      <c r="BI73" s="607"/>
      <c r="BJ73" s="1535" t="s">
        <v>145</v>
      </c>
      <c r="BK73" s="1535"/>
      <c r="BL73" s="1535"/>
      <c r="BM73" s="1535"/>
      <c r="BN73" s="605"/>
      <c r="BO73" s="607"/>
      <c r="BP73" s="1536" t="s">
        <v>144</v>
      </c>
      <c r="BQ73" s="1536"/>
      <c r="BR73" s="1536"/>
      <c r="BS73" s="1536"/>
      <c r="BT73" s="607"/>
      <c r="BU73" s="607"/>
      <c r="BV73" s="607"/>
      <c r="BW73" s="1535" t="s">
        <v>146</v>
      </c>
      <c r="BX73" s="1535"/>
      <c r="BY73" s="1535"/>
      <c r="BZ73" s="1535"/>
      <c r="CA73" s="605"/>
    </row>
    <row r="74" spans="1:79" ht="15">
      <c r="A74" s="1537"/>
      <c r="B74" s="40"/>
      <c r="C74" s="560">
        <v>1</v>
      </c>
      <c r="D74" s="561">
        <v>2</v>
      </c>
      <c r="E74" s="562">
        <v>3</v>
      </c>
      <c r="F74" s="646">
        <v>4</v>
      </c>
      <c r="G74" s="41">
        <f>IF(COUNTIF(G76:G96,"&gt;37")=0,0,COUNTIF(G76:G96,"&gt;37")-1)</f>
        <v>8</v>
      </c>
      <c r="H74" s="251"/>
      <c r="I74" s="486">
        <v>6</v>
      </c>
      <c r="J74" s="568">
        <v>1</v>
      </c>
      <c r="K74" s="569">
        <v>2</v>
      </c>
      <c r="L74" s="570">
        <v>3</v>
      </c>
      <c r="M74" s="645">
        <v>4</v>
      </c>
      <c r="N74" s="248"/>
      <c r="O74" s="40"/>
      <c r="P74" s="92">
        <v>1</v>
      </c>
      <c r="Q74" s="93">
        <v>2</v>
      </c>
      <c r="R74" s="94">
        <v>3</v>
      </c>
      <c r="S74" s="245">
        <v>4</v>
      </c>
      <c r="T74" s="41">
        <f>IF(COUNTIF(T76:T96,"&gt;37")=0,0,COUNTIF(T76:T96,"&gt;37")-1)</f>
        <v>0</v>
      </c>
      <c r="U74" s="251"/>
      <c r="V74" s="41">
        <f>IF(COUNTIF(V76:V96,"&gt;37")=0,0,COUNTIF(V76:V96,"&gt;37")-1)</f>
        <v>0</v>
      </c>
      <c r="W74" s="263">
        <v>1</v>
      </c>
      <c r="X74" s="264">
        <v>2</v>
      </c>
      <c r="Y74" s="265">
        <v>3</v>
      </c>
      <c r="Z74" s="266">
        <v>4</v>
      </c>
      <c r="AA74" s="248"/>
      <c r="AB74" s="40"/>
      <c r="AC74" s="568">
        <v>1</v>
      </c>
      <c r="AD74" s="569">
        <v>2</v>
      </c>
      <c r="AE74" s="570">
        <v>3</v>
      </c>
      <c r="AF74" s="645">
        <v>4</v>
      </c>
      <c r="AG74" s="41">
        <f>IF(COUNTIF(AG76:AG96,"&gt;37")=0,0,COUNTIF(AG76:AG96,"&gt;37")-1)</f>
        <v>0</v>
      </c>
      <c r="AH74" s="251"/>
      <c r="AI74" s="41">
        <f>IF(COUNTIF(AI76:AI96,"&gt;37")=0,0,COUNTIF(AI76:AI96,"&gt;37")-1)</f>
        <v>1</v>
      </c>
      <c r="AJ74" s="619">
        <v>1</v>
      </c>
      <c r="AK74" s="620">
        <v>2</v>
      </c>
      <c r="AL74" s="621">
        <v>3</v>
      </c>
      <c r="AM74" s="647">
        <v>4</v>
      </c>
      <c r="AN74" s="248"/>
      <c r="AO74" s="50"/>
      <c r="AP74" s="38"/>
      <c r="AQ74" s="34"/>
      <c r="AR74" s="34"/>
      <c r="AS74" s="34"/>
      <c r="AT74" s="256"/>
      <c r="AU74" s="248"/>
      <c r="AV74" s="38"/>
      <c r="AW74" s="39"/>
      <c r="AX74" s="39"/>
      <c r="AY74" s="39"/>
      <c r="AZ74" s="39"/>
      <c r="BA74" s="262"/>
      <c r="BB74" s="522"/>
      <c r="BC74" s="560">
        <v>1</v>
      </c>
      <c r="BD74" s="561">
        <v>2</v>
      </c>
      <c r="BE74" s="562">
        <v>3</v>
      </c>
      <c r="BF74" s="646">
        <v>4</v>
      </c>
      <c r="BG74" s="523">
        <f>IF(COUNTIF(BG76:BG96,"&gt;37")=0,0,COUNTIF(BG76:BG96,"&gt;37")-1)</f>
        <v>2</v>
      </c>
      <c r="BH74" s="607"/>
      <c r="BI74" s="486">
        <v>0</v>
      </c>
      <c r="BJ74" s="568">
        <v>1</v>
      </c>
      <c r="BK74" s="569">
        <v>2</v>
      </c>
      <c r="BL74" s="570">
        <v>3</v>
      </c>
      <c r="BM74" s="645">
        <v>4</v>
      </c>
      <c r="BN74" s="618"/>
      <c r="BO74" s="522"/>
      <c r="BP74" s="560">
        <v>1</v>
      </c>
      <c r="BQ74" s="561">
        <v>2</v>
      </c>
      <c r="BR74" s="562">
        <v>3</v>
      </c>
      <c r="BS74" s="646">
        <v>4</v>
      </c>
      <c r="BT74" s="523">
        <f>IF(COUNTIF(BT76:BT96,"&gt;37")=0,0,COUNTIF(BT76:BT96,"&gt;37")-1)</f>
        <v>1</v>
      </c>
      <c r="BU74" s="607"/>
      <c r="BV74" s="523">
        <f>IF(COUNTIF(BV76:BV96,"&gt;37")=0,0,COUNTIF(BV76:BV96,"&gt;37")-1)</f>
        <v>0</v>
      </c>
      <c r="BW74" s="568">
        <v>1</v>
      </c>
      <c r="BX74" s="569">
        <v>2</v>
      </c>
      <c r="BY74" s="570">
        <v>3</v>
      </c>
      <c r="BZ74" s="645">
        <v>4</v>
      </c>
      <c r="CA74" s="618"/>
    </row>
    <row r="75" spans="1:79" ht="48">
      <c r="A75" s="1537"/>
      <c r="B75" s="47"/>
      <c r="C75" s="527" t="s">
        <v>53</v>
      </c>
      <c r="D75" s="527" t="s">
        <v>137</v>
      </c>
      <c r="E75" s="527" t="s">
        <v>132</v>
      </c>
      <c r="F75" s="527" t="s">
        <v>135</v>
      </c>
      <c r="G75" s="49"/>
      <c r="H75" s="254"/>
      <c r="I75" s="255"/>
      <c r="J75" s="571" t="s">
        <v>134</v>
      </c>
      <c r="K75" s="571" t="s">
        <v>9</v>
      </c>
      <c r="L75" s="571" t="s">
        <v>132</v>
      </c>
      <c r="M75" s="571" t="s">
        <v>133</v>
      </c>
      <c r="N75" s="252"/>
      <c r="O75" s="47"/>
      <c r="P75" s="95" t="s">
        <v>132</v>
      </c>
      <c r="Q75" s="95" t="s">
        <v>170</v>
      </c>
      <c r="R75" s="95" t="s">
        <v>137</v>
      </c>
      <c r="S75" s="95" t="s">
        <v>135</v>
      </c>
      <c r="T75" s="254"/>
      <c r="U75" s="254"/>
      <c r="V75" s="254"/>
      <c r="W75" s="267" t="s">
        <v>93</v>
      </c>
      <c r="X75" s="623" t="s">
        <v>168</v>
      </c>
      <c r="Y75" s="267" t="s">
        <v>95</v>
      </c>
      <c r="Z75" s="267" t="s">
        <v>96</v>
      </c>
      <c r="AA75" s="252"/>
      <c r="AB75" s="47"/>
      <c r="AC75" s="571" t="s">
        <v>53</v>
      </c>
      <c r="AD75" s="571" t="s">
        <v>135</v>
      </c>
      <c r="AE75" s="571" t="s">
        <v>137</v>
      </c>
      <c r="AF75" s="571" t="s">
        <v>132</v>
      </c>
      <c r="AG75" s="49"/>
      <c r="AH75" s="254"/>
      <c r="AI75" s="255"/>
      <c r="AJ75" s="623" t="s">
        <v>139</v>
      </c>
      <c r="AK75" s="623" t="s">
        <v>140</v>
      </c>
      <c r="AL75" s="623" t="s">
        <v>141</v>
      </c>
      <c r="AM75" s="623" t="s">
        <v>142</v>
      </c>
      <c r="AN75" s="252"/>
      <c r="AO75" s="50"/>
      <c r="AP75" s="34"/>
      <c r="AQ75" s="38"/>
      <c r="AR75" s="38"/>
      <c r="AS75" s="34"/>
      <c r="AT75" s="256"/>
      <c r="AU75" s="252"/>
      <c r="AV75" s="252"/>
      <c r="AW75" s="46"/>
      <c r="AX75" s="253"/>
      <c r="AY75" s="253"/>
      <c r="AZ75" s="45"/>
      <c r="BA75" s="249"/>
      <c r="BB75" s="526"/>
      <c r="BC75" s="527" t="s">
        <v>135</v>
      </c>
      <c r="BD75" s="527" t="s">
        <v>53</v>
      </c>
      <c r="BE75" s="527" t="s">
        <v>132</v>
      </c>
      <c r="BF75" s="527" t="s">
        <v>170</v>
      </c>
      <c r="BG75" s="528"/>
      <c r="BH75" s="610"/>
      <c r="BI75" s="611"/>
      <c r="BJ75" s="571" t="s">
        <v>172</v>
      </c>
      <c r="BK75" s="571" t="s">
        <v>101</v>
      </c>
      <c r="BL75" s="571" t="s">
        <v>169</v>
      </c>
      <c r="BM75" s="571" t="s">
        <v>164</v>
      </c>
      <c r="BN75" s="605"/>
      <c r="BO75" s="526"/>
      <c r="BP75" s="527" t="s">
        <v>53</v>
      </c>
      <c r="BQ75" s="527" t="s">
        <v>135</v>
      </c>
      <c r="BR75" s="527" t="s">
        <v>170</v>
      </c>
      <c r="BS75" s="527" t="s">
        <v>137</v>
      </c>
      <c r="BT75" s="528"/>
      <c r="BU75" s="610"/>
      <c r="BV75" s="611"/>
      <c r="BW75" s="571" t="s">
        <v>164</v>
      </c>
      <c r="BX75" s="571" t="s">
        <v>165</v>
      </c>
      <c r="BY75" s="571" t="s">
        <v>166</v>
      </c>
      <c r="BZ75" s="571" t="s">
        <v>167</v>
      </c>
      <c r="CA75" s="605"/>
    </row>
    <row r="76" spans="1:79" ht="15">
      <c r="A76" s="1537"/>
      <c r="B76" s="51">
        <v>1</v>
      </c>
      <c r="C76" s="52">
        <v>7</v>
      </c>
      <c r="D76" s="53"/>
      <c r="E76" s="53"/>
      <c r="F76" s="173"/>
      <c r="G76" s="257">
        <f>SUM(C$76:F76)</f>
        <v>7</v>
      </c>
      <c r="H76" s="258">
        <f t="shared" ref="H76:H95" si="16">G76-I76</f>
        <v>0</v>
      </c>
      <c r="I76" s="259">
        <f>SUM(J$76:M76)</f>
        <v>7</v>
      </c>
      <c r="J76" s="52">
        <v>7</v>
      </c>
      <c r="K76" s="53"/>
      <c r="L76" s="53"/>
      <c r="M76" s="173"/>
      <c r="N76" s="248"/>
      <c r="O76" s="51">
        <v>1</v>
      </c>
      <c r="P76" s="52">
        <v>11</v>
      </c>
      <c r="Q76" s="53"/>
      <c r="R76" s="53"/>
      <c r="S76" s="53"/>
      <c r="T76" s="257">
        <f>SUM(P$76:S76)</f>
        <v>11</v>
      </c>
      <c r="U76" s="258">
        <f t="shared" ref="U76:U82" si="17">T76-V76</f>
        <v>7</v>
      </c>
      <c r="V76" s="259">
        <f>SUM(W$76:Z76)</f>
        <v>4</v>
      </c>
      <c r="W76" s="52">
        <v>4</v>
      </c>
      <c r="X76" s="53"/>
      <c r="Y76" s="53"/>
      <c r="Z76" s="53"/>
      <c r="AA76" s="248"/>
      <c r="AB76" s="51">
        <v>1</v>
      </c>
      <c r="AC76" s="52">
        <v>10</v>
      </c>
      <c r="AD76" s="53"/>
      <c r="AE76" s="53"/>
      <c r="AF76" s="53"/>
      <c r="AG76" s="257">
        <f>SUM(AC$76:AF76)</f>
        <v>10</v>
      </c>
      <c r="AH76" s="258">
        <f>AG76-AI76</f>
        <v>2</v>
      </c>
      <c r="AI76" s="259">
        <f>SUM(AJ$76:AM76)</f>
        <v>8</v>
      </c>
      <c r="AJ76" s="52">
        <v>8</v>
      </c>
      <c r="AK76" s="53"/>
      <c r="AL76" s="53"/>
      <c r="AM76" s="53"/>
      <c r="AN76" s="248"/>
      <c r="AO76" s="50"/>
      <c r="AP76" s="38"/>
      <c r="AQ76" s="34"/>
      <c r="AR76" s="34"/>
      <c r="AS76" s="34"/>
      <c r="AT76" s="256"/>
      <c r="AU76" s="248"/>
      <c r="AV76" s="256"/>
      <c r="AW76" s="38"/>
      <c r="AX76" s="34"/>
      <c r="AY76" s="34"/>
      <c r="AZ76" s="34"/>
      <c r="BA76" s="249"/>
      <c r="BB76" s="530">
        <v>1</v>
      </c>
      <c r="BC76" s="531">
        <v>10</v>
      </c>
      <c r="BD76" s="532"/>
      <c r="BE76" s="532"/>
      <c r="BF76" s="532"/>
      <c r="BG76" s="613">
        <f>SUM(BC$76:BF76)</f>
        <v>10</v>
      </c>
      <c r="BH76" s="614">
        <f t="shared" ref="BH76:BH87" si="18">BG76-BI76</f>
        <v>2</v>
      </c>
      <c r="BI76" s="615">
        <f>SUM(BJ$76:BM76)</f>
        <v>8</v>
      </c>
      <c r="BJ76" s="531">
        <v>8</v>
      </c>
      <c r="BK76" s="532"/>
      <c r="BL76" s="532"/>
      <c r="BM76" s="532"/>
      <c r="BN76" s="605"/>
      <c r="BO76" s="530">
        <v>1</v>
      </c>
      <c r="BP76" s="531">
        <v>5</v>
      </c>
      <c r="BQ76" s="532"/>
      <c r="BR76" s="532"/>
      <c r="BS76" s="532"/>
      <c r="BT76" s="613">
        <f>SUM(BP$76:BS76)</f>
        <v>5</v>
      </c>
      <c r="BU76" s="614">
        <f t="shared" ref="BU76:BU82" si="19">BT76-BV76</f>
        <v>2</v>
      </c>
      <c r="BV76" s="615">
        <f>SUM(BW$76:BZ76)</f>
        <v>3</v>
      </c>
      <c r="BW76" s="531">
        <v>3</v>
      </c>
      <c r="BX76" s="532"/>
      <c r="BY76" s="532"/>
      <c r="BZ76" s="532"/>
      <c r="CA76" s="605"/>
    </row>
    <row r="77" spans="1:79" ht="15">
      <c r="A77" s="1537"/>
      <c r="B77" s="56">
        <v>2</v>
      </c>
      <c r="C77" s="53"/>
      <c r="D77" s="52">
        <v>3</v>
      </c>
      <c r="E77" s="53"/>
      <c r="F77" s="53"/>
      <c r="G77" s="257">
        <f>SUM(C$76:F77)</f>
        <v>10</v>
      </c>
      <c r="H77" s="258">
        <f t="shared" si="16"/>
        <v>-2</v>
      </c>
      <c r="I77" s="259">
        <f>SUM(J$76:M77)</f>
        <v>12</v>
      </c>
      <c r="J77" s="53"/>
      <c r="K77" s="52">
        <v>5</v>
      </c>
      <c r="L77" s="53"/>
      <c r="M77" s="53"/>
      <c r="N77" s="248"/>
      <c r="O77" s="56">
        <v>2</v>
      </c>
      <c r="P77" s="53"/>
      <c r="Q77" s="52">
        <v>2</v>
      </c>
      <c r="R77" s="53"/>
      <c r="S77" s="53"/>
      <c r="T77" s="257">
        <f>SUM(P$76:S77)</f>
        <v>13</v>
      </c>
      <c r="U77" s="258">
        <f t="shared" si="17"/>
        <v>7</v>
      </c>
      <c r="V77" s="259">
        <f>SUM(W$76:Z77)</f>
        <v>6</v>
      </c>
      <c r="W77" s="53"/>
      <c r="X77" s="52">
        <v>2</v>
      </c>
      <c r="Y77" s="52"/>
      <c r="Z77" s="53"/>
      <c r="AA77" s="248"/>
      <c r="AB77" s="56">
        <v>2</v>
      </c>
      <c r="AC77" s="53"/>
      <c r="AD77" s="52">
        <v>7</v>
      </c>
      <c r="AE77" s="52"/>
      <c r="AF77" s="53"/>
      <c r="AG77" s="257">
        <f>SUM(AC$76:AF77)</f>
        <v>17</v>
      </c>
      <c r="AH77" s="258">
        <f t="shared" ref="AH77:AH83" si="20">AG77-AI77</f>
        <v>2</v>
      </c>
      <c r="AI77" s="259">
        <f>SUM(AJ$76:AM77)</f>
        <v>15</v>
      </c>
      <c r="AJ77" s="53"/>
      <c r="AK77" s="52">
        <v>7</v>
      </c>
      <c r="AL77" s="52"/>
      <c r="AM77" s="53"/>
      <c r="AN77" s="248"/>
      <c r="AO77" s="50"/>
      <c r="AP77" s="34"/>
      <c r="AQ77" s="38"/>
      <c r="AR77" s="38"/>
      <c r="AS77" s="34"/>
      <c r="AT77" s="256"/>
      <c r="AU77" s="248"/>
      <c r="AV77" s="256"/>
      <c r="AW77" s="34"/>
      <c r="AX77" s="38"/>
      <c r="AY77" s="38"/>
      <c r="AZ77" s="34"/>
      <c r="BA77" s="249"/>
      <c r="BB77" s="533">
        <v>2</v>
      </c>
      <c r="BC77" s="532"/>
      <c r="BD77" s="531" t="s">
        <v>2</v>
      </c>
      <c r="BE77" s="531"/>
      <c r="BF77" s="532"/>
      <c r="BG77" s="613">
        <f>SUM(BC$76:BF77)</f>
        <v>10</v>
      </c>
      <c r="BH77" s="614">
        <f t="shared" si="18"/>
        <v>-4</v>
      </c>
      <c r="BI77" s="615">
        <f>SUM(BJ$76:BM77)</f>
        <v>14</v>
      </c>
      <c r="BJ77" s="532"/>
      <c r="BK77" s="531">
        <v>6</v>
      </c>
      <c r="BL77" s="531"/>
      <c r="BM77" s="532"/>
      <c r="BN77" s="605"/>
      <c r="BO77" s="533">
        <v>2</v>
      </c>
      <c r="BP77" s="532"/>
      <c r="BQ77" s="531">
        <v>9</v>
      </c>
      <c r="BR77" s="531"/>
      <c r="BS77" s="532"/>
      <c r="BT77" s="613">
        <f>SUM(BP$76:BS77)</f>
        <v>14</v>
      </c>
      <c r="BU77" s="614">
        <f t="shared" si="19"/>
        <v>5</v>
      </c>
      <c r="BV77" s="615">
        <f>SUM(BW$76:BZ77)</f>
        <v>9</v>
      </c>
      <c r="BW77" s="532"/>
      <c r="BX77" s="531">
        <v>6</v>
      </c>
      <c r="BY77" s="531"/>
      <c r="BZ77" s="532"/>
      <c r="CA77" s="605"/>
    </row>
    <row r="78" spans="1:79" ht="15">
      <c r="A78" s="1537"/>
      <c r="B78" s="56">
        <v>3</v>
      </c>
      <c r="C78" s="52"/>
      <c r="D78" s="53"/>
      <c r="E78" s="53">
        <v>2</v>
      </c>
      <c r="F78" s="173"/>
      <c r="G78" s="257">
        <f>SUM(C$76:F78)</f>
        <v>12</v>
      </c>
      <c r="H78" s="258">
        <f t="shared" si="16"/>
        <v>-2</v>
      </c>
      <c r="I78" s="259">
        <f>SUM(J$76:M78)</f>
        <v>14</v>
      </c>
      <c r="J78" s="52"/>
      <c r="K78" s="53"/>
      <c r="L78" s="53">
        <v>2</v>
      </c>
      <c r="M78" s="173"/>
      <c r="N78" s="248"/>
      <c r="O78" s="56">
        <v>3</v>
      </c>
      <c r="P78" s="52"/>
      <c r="Q78" s="53"/>
      <c r="R78" s="53">
        <v>5</v>
      </c>
      <c r="S78" s="53"/>
      <c r="T78" s="257">
        <f>SUM(P$76:S78)</f>
        <v>18</v>
      </c>
      <c r="U78" s="258">
        <f t="shared" si="17"/>
        <v>4</v>
      </c>
      <c r="V78" s="259">
        <f>SUM(W$76:Z78)</f>
        <v>14</v>
      </c>
      <c r="W78" s="52"/>
      <c r="X78" s="53"/>
      <c r="Y78" s="53">
        <v>8</v>
      </c>
      <c r="Z78" s="53"/>
      <c r="AA78" s="248"/>
      <c r="AB78" s="56">
        <v>3</v>
      </c>
      <c r="AC78" s="52"/>
      <c r="AD78" s="53"/>
      <c r="AE78" s="53" t="s">
        <v>2</v>
      </c>
      <c r="AF78" s="53"/>
      <c r="AG78" s="257">
        <f>SUM(AC$76:AF78)</f>
        <v>17</v>
      </c>
      <c r="AH78" s="258">
        <f t="shared" si="20"/>
        <v>1</v>
      </c>
      <c r="AI78" s="259">
        <f>SUM(AJ$76:AM78)</f>
        <v>16</v>
      </c>
      <c r="AJ78" s="52"/>
      <c r="AK78" s="53"/>
      <c r="AL78" s="53">
        <v>1</v>
      </c>
      <c r="AM78" s="53"/>
      <c r="AN78" s="248"/>
      <c r="AO78" s="50"/>
      <c r="AP78" s="38"/>
      <c r="AQ78" s="34"/>
      <c r="AR78" s="34"/>
      <c r="AS78" s="34"/>
      <c r="AT78" s="256"/>
      <c r="AU78" s="248"/>
      <c r="AV78" s="256"/>
      <c r="AW78" s="38"/>
      <c r="AX78" s="34"/>
      <c r="AY78" s="34"/>
      <c r="AZ78" s="34"/>
      <c r="BA78" s="249"/>
      <c r="BB78" s="533">
        <v>3</v>
      </c>
      <c r="BC78" s="531"/>
      <c r="BD78" s="532"/>
      <c r="BE78" s="532">
        <v>7</v>
      </c>
      <c r="BF78" s="532"/>
      <c r="BG78" s="613">
        <f>SUM(BC$76:BF78)</f>
        <v>17</v>
      </c>
      <c r="BH78" s="614">
        <f t="shared" si="18"/>
        <v>-3</v>
      </c>
      <c r="BI78" s="615">
        <f>SUM(BJ$76:BM78)</f>
        <v>20</v>
      </c>
      <c r="BJ78" s="531"/>
      <c r="BK78" s="532"/>
      <c r="BL78" s="532">
        <v>6</v>
      </c>
      <c r="BM78" s="532"/>
      <c r="BN78" s="605"/>
      <c r="BO78" s="533">
        <v>3</v>
      </c>
      <c r="BP78" s="531"/>
      <c r="BQ78" s="532"/>
      <c r="BR78" s="532">
        <v>6</v>
      </c>
      <c r="BS78" s="532"/>
      <c r="BT78" s="613">
        <f>SUM(BP$76:BS78)</f>
        <v>20</v>
      </c>
      <c r="BU78" s="614">
        <f t="shared" si="19"/>
        <v>9</v>
      </c>
      <c r="BV78" s="615">
        <f>SUM(BW$76:BZ78)</f>
        <v>11</v>
      </c>
      <c r="BW78" s="531"/>
      <c r="BX78" s="532"/>
      <c r="BY78" s="532">
        <v>2</v>
      </c>
      <c r="BZ78" s="532"/>
      <c r="CA78" s="605"/>
    </row>
    <row r="79" spans="1:79" ht="15">
      <c r="A79" s="1537"/>
      <c r="B79" s="51">
        <v>4</v>
      </c>
      <c r="C79" s="53"/>
      <c r="D79" s="52"/>
      <c r="E79" s="53"/>
      <c r="F79" s="53">
        <v>3</v>
      </c>
      <c r="G79" s="257">
        <f>SUM(C$76:F79)</f>
        <v>15</v>
      </c>
      <c r="H79" s="258">
        <f t="shared" si="16"/>
        <v>-6</v>
      </c>
      <c r="I79" s="259">
        <f>SUM(J$76:M79)</f>
        <v>21</v>
      </c>
      <c r="J79" s="53"/>
      <c r="K79" s="52"/>
      <c r="L79" s="53"/>
      <c r="M79" s="53">
        <v>7</v>
      </c>
      <c r="N79" s="248"/>
      <c r="O79" s="56">
        <v>4</v>
      </c>
      <c r="P79" s="53"/>
      <c r="Q79" s="52"/>
      <c r="R79" s="53"/>
      <c r="S79" s="53">
        <v>3</v>
      </c>
      <c r="T79" s="257">
        <f>SUM(P$76:S79)</f>
        <v>21</v>
      </c>
      <c r="U79" s="258">
        <f t="shared" si="17"/>
        <v>2</v>
      </c>
      <c r="V79" s="259">
        <f>SUM(W$76:Z79)</f>
        <v>19</v>
      </c>
      <c r="W79" s="53"/>
      <c r="X79" s="52"/>
      <c r="Y79" s="52"/>
      <c r="Z79" s="53">
        <v>5</v>
      </c>
      <c r="AA79" s="248"/>
      <c r="AB79" s="51">
        <v>4</v>
      </c>
      <c r="AC79" s="53"/>
      <c r="AD79" s="52"/>
      <c r="AE79" s="52"/>
      <c r="AF79" s="53">
        <v>5</v>
      </c>
      <c r="AG79" s="257">
        <f>SUM(AC$76:AF79)</f>
        <v>22</v>
      </c>
      <c r="AH79" s="258">
        <f t="shared" si="20"/>
        <v>1</v>
      </c>
      <c r="AI79" s="259">
        <f>SUM(AJ$76:AM79)</f>
        <v>21</v>
      </c>
      <c r="AJ79" s="53"/>
      <c r="AK79" s="52"/>
      <c r="AL79" s="52"/>
      <c r="AM79" s="532">
        <v>5</v>
      </c>
      <c r="AN79" s="248"/>
      <c r="AO79" s="50"/>
      <c r="AP79" s="34"/>
      <c r="AQ79" s="38"/>
      <c r="AR79" s="38"/>
      <c r="AS79" s="34"/>
      <c r="AT79" s="256"/>
      <c r="AU79" s="248"/>
      <c r="AV79" s="256"/>
      <c r="AW79" s="34"/>
      <c r="AX79" s="38"/>
      <c r="AY79" s="38"/>
      <c r="AZ79" s="34"/>
      <c r="BA79" s="249"/>
      <c r="BB79" s="530">
        <v>4</v>
      </c>
      <c r="BC79" s="532"/>
      <c r="BD79" s="531"/>
      <c r="BE79" s="531"/>
      <c r="BF79" s="532">
        <v>3</v>
      </c>
      <c r="BG79" s="613">
        <f>SUM(BC$76:BF79)</f>
        <v>20</v>
      </c>
      <c r="BH79" s="614">
        <f t="shared" si="18"/>
        <v>-2</v>
      </c>
      <c r="BI79" s="615">
        <f>SUM(BJ$76:BM79)</f>
        <v>22</v>
      </c>
      <c r="BJ79" s="532"/>
      <c r="BK79" s="531"/>
      <c r="BL79" s="531"/>
      <c r="BM79" s="532">
        <v>2</v>
      </c>
      <c r="BN79" s="605"/>
      <c r="BO79" s="530">
        <v>4</v>
      </c>
      <c r="BP79" s="532"/>
      <c r="BQ79" s="531"/>
      <c r="BR79" s="531"/>
      <c r="BS79" s="532">
        <v>8</v>
      </c>
      <c r="BT79" s="613">
        <f>SUM(BP$76:BS79)</f>
        <v>28</v>
      </c>
      <c r="BU79" s="614">
        <f t="shared" si="19"/>
        <v>10</v>
      </c>
      <c r="BV79" s="615">
        <f>SUM(BW$76:BZ79)</f>
        <v>18</v>
      </c>
      <c r="BW79" s="532"/>
      <c r="BX79" s="531"/>
      <c r="BY79" s="531"/>
      <c r="BZ79" s="532">
        <v>7</v>
      </c>
      <c r="CA79" s="605"/>
    </row>
    <row r="80" spans="1:79" ht="15">
      <c r="A80" s="1537"/>
      <c r="B80" s="56">
        <v>5</v>
      </c>
      <c r="C80" s="52">
        <v>5</v>
      </c>
      <c r="D80" s="53"/>
      <c r="E80" s="53"/>
      <c r="F80" s="173"/>
      <c r="G80" s="257">
        <f>SUM(C$76:F80)</f>
        <v>20</v>
      </c>
      <c r="H80" s="258">
        <f t="shared" si="16"/>
        <v>-7</v>
      </c>
      <c r="I80" s="259">
        <f>SUM(J$76:M80)</f>
        <v>27</v>
      </c>
      <c r="J80" s="52">
        <v>6</v>
      </c>
      <c r="K80" s="53"/>
      <c r="L80" s="53"/>
      <c r="M80" s="173"/>
      <c r="N80" s="248"/>
      <c r="O80" s="51">
        <v>5</v>
      </c>
      <c r="P80" s="52" t="s">
        <v>2</v>
      </c>
      <c r="Q80" s="53"/>
      <c r="R80" s="53"/>
      <c r="S80" s="53"/>
      <c r="T80" s="257">
        <f>SUM(P$76:S80)</f>
        <v>21</v>
      </c>
      <c r="U80" s="258">
        <f t="shared" si="17"/>
        <v>-3</v>
      </c>
      <c r="V80" s="259">
        <f>SUM(W$76:Z80)</f>
        <v>24</v>
      </c>
      <c r="W80" s="52">
        <v>5</v>
      </c>
      <c r="X80" s="53"/>
      <c r="Y80" s="53"/>
      <c r="Z80" s="53"/>
      <c r="AA80" s="248"/>
      <c r="AB80" s="56">
        <v>3</v>
      </c>
      <c r="AC80" s="52" t="s">
        <v>2</v>
      </c>
      <c r="AD80" s="53"/>
      <c r="AE80" s="53"/>
      <c r="AF80" s="53"/>
      <c r="AG80" s="257">
        <f>SUM(AC$76:AF80)</f>
        <v>22</v>
      </c>
      <c r="AH80" s="258">
        <f t="shared" si="20"/>
        <v>-11</v>
      </c>
      <c r="AI80" s="259">
        <f>SUM(AJ$76:AM80)</f>
        <v>33</v>
      </c>
      <c r="AJ80" s="52">
        <v>12</v>
      </c>
      <c r="AK80" s="53"/>
      <c r="AL80" s="53"/>
      <c r="AM80" s="53"/>
      <c r="AN80" s="248"/>
      <c r="AO80" s="50"/>
      <c r="AP80" s="38"/>
      <c r="AQ80" s="34"/>
      <c r="AR80" s="34"/>
      <c r="AS80" s="34"/>
      <c r="AT80" s="256"/>
      <c r="AU80" s="248"/>
      <c r="AV80" s="256"/>
      <c r="AW80" s="38"/>
      <c r="AX80" s="34"/>
      <c r="AY80" s="34"/>
      <c r="AZ80" s="34"/>
      <c r="BA80" s="249"/>
      <c r="BB80" s="533">
        <v>3</v>
      </c>
      <c r="BC80" s="531" t="s">
        <v>2</v>
      </c>
      <c r="BD80" s="532"/>
      <c r="BE80" s="532"/>
      <c r="BF80" s="532"/>
      <c r="BG80" s="613">
        <f>SUM(BC$76:BF80)</f>
        <v>20</v>
      </c>
      <c r="BH80" s="614">
        <f t="shared" si="18"/>
        <v>-9</v>
      </c>
      <c r="BI80" s="615">
        <f>SUM(BJ$76:BM80)</f>
        <v>29</v>
      </c>
      <c r="BJ80" s="531">
        <v>7</v>
      </c>
      <c r="BK80" s="532"/>
      <c r="BL80" s="532"/>
      <c r="BM80" s="532"/>
      <c r="BN80" s="605"/>
      <c r="BO80" s="533">
        <v>3</v>
      </c>
      <c r="BP80" s="531">
        <v>8</v>
      </c>
      <c r="BQ80" s="532"/>
      <c r="BR80" s="532"/>
      <c r="BS80" s="532"/>
      <c r="BT80" s="613">
        <f>SUM(BP$76:BS80)</f>
        <v>36</v>
      </c>
      <c r="BU80" s="614">
        <f t="shared" si="19"/>
        <v>10</v>
      </c>
      <c r="BV80" s="615">
        <f>SUM(BW$76:BZ80)</f>
        <v>26</v>
      </c>
      <c r="BW80" s="531">
        <v>8</v>
      </c>
      <c r="BX80" s="532"/>
      <c r="BY80" s="532"/>
      <c r="BZ80" s="532"/>
      <c r="CA80" s="605"/>
    </row>
    <row r="81" spans="1:79" ht="15">
      <c r="A81" s="1537"/>
      <c r="B81" s="56">
        <v>6</v>
      </c>
      <c r="C81" s="53"/>
      <c r="D81" s="52">
        <v>5</v>
      </c>
      <c r="E81" s="53"/>
      <c r="F81" s="53"/>
      <c r="G81" s="257">
        <f>SUM(C$76:F81)</f>
        <v>25</v>
      </c>
      <c r="H81" s="258">
        <f t="shared" si="16"/>
        <v>-8</v>
      </c>
      <c r="I81" s="259">
        <f>SUM(J$76:M81)</f>
        <v>33</v>
      </c>
      <c r="J81" s="53"/>
      <c r="K81" s="53">
        <v>6</v>
      </c>
      <c r="L81" s="53"/>
      <c r="M81" s="53"/>
      <c r="N81" s="248"/>
      <c r="O81" s="56">
        <v>6</v>
      </c>
      <c r="P81" s="53"/>
      <c r="Q81" s="52" t="s">
        <v>2</v>
      </c>
      <c r="R81" s="53"/>
      <c r="S81" s="53"/>
      <c r="T81" s="257">
        <f>SUM(P$76:S81)</f>
        <v>21</v>
      </c>
      <c r="U81" s="258">
        <f t="shared" si="17"/>
        <v>-5</v>
      </c>
      <c r="V81" s="259">
        <f>SUM(W$76:Z81)</f>
        <v>26</v>
      </c>
      <c r="W81" s="53"/>
      <c r="X81" s="52">
        <v>2</v>
      </c>
      <c r="Y81" s="52"/>
      <c r="Z81" s="53"/>
      <c r="AA81" s="248"/>
      <c r="AB81" s="56">
        <v>6</v>
      </c>
      <c r="AC81" s="53"/>
      <c r="AD81" s="52">
        <v>3</v>
      </c>
      <c r="AE81" s="52"/>
      <c r="AF81" s="53"/>
      <c r="AG81" s="257">
        <f>SUM(AC$76:AF81)</f>
        <v>25</v>
      </c>
      <c r="AH81" s="258">
        <f t="shared" si="20"/>
        <v>-8</v>
      </c>
      <c r="AI81" s="259">
        <f>SUM(AJ$76:AM81)</f>
        <v>33</v>
      </c>
      <c r="AJ81" s="53"/>
      <c r="AK81" s="52" t="s">
        <v>2</v>
      </c>
      <c r="AL81" s="52"/>
      <c r="AM81" s="53"/>
      <c r="AN81" s="248"/>
      <c r="AO81" s="50"/>
      <c r="AP81" s="34"/>
      <c r="AQ81" s="38"/>
      <c r="AR81" s="38"/>
      <c r="AS81" s="34"/>
      <c r="AT81" s="256"/>
      <c r="AU81" s="248"/>
      <c r="AV81" s="256"/>
      <c r="AW81" s="34"/>
      <c r="AX81" s="38"/>
      <c r="AY81" s="38"/>
      <c r="AZ81" s="34"/>
      <c r="BA81" s="249"/>
      <c r="BB81" s="533">
        <v>6</v>
      </c>
      <c r="BC81" s="532"/>
      <c r="BD81" s="531">
        <v>11</v>
      </c>
      <c r="BE81" s="531"/>
      <c r="BF81" s="532"/>
      <c r="BG81" s="613">
        <f>SUM(BC$76:BF81)</f>
        <v>31</v>
      </c>
      <c r="BH81" s="614">
        <f t="shared" si="18"/>
        <v>2</v>
      </c>
      <c r="BI81" s="615">
        <f>SUM(BJ$76:BM81)</f>
        <v>29</v>
      </c>
      <c r="BJ81" s="532"/>
      <c r="BK81" s="531" t="s">
        <v>2</v>
      </c>
      <c r="BL81" s="531"/>
      <c r="BM81" s="532"/>
      <c r="BN81" s="605"/>
      <c r="BO81" s="533">
        <v>6</v>
      </c>
      <c r="BP81" s="532"/>
      <c r="BQ81" s="531">
        <v>7</v>
      </c>
      <c r="BR81" s="531"/>
      <c r="BS81" s="532"/>
      <c r="BT81" s="613">
        <f>SUM(BP$76:BS81)</f>
        <v>43</v>
      </c>
      <c r="BU81" s="614">
        <f t="shared" si="19"/>
        <v>15</v>
      </c>
      <c r="BV81" s="615">
        <f>SUM(BW$76:BZ81)</f>
        <v>28</v>
      </c>
      <c r="BW81" s="532"/>
      <c r="BX81" s="531">
        <v>2</v>
      </c>
      <c r="BY81" s="531"/>
      <c r="BZ81" s="532"/>
      <c r="CA81" s="605"/>
    </row>
    <row r="82" spans="1:79" ht="15">
      <c r="A82" s="1537"/>
      <c r="B82" s="51">
        <v>7</v>
      </c>
      <c r="C82" s="52"/>
      <c r="D82" s="53"/>
      <c r="E82" s="53">
        <v>11</v>
      </c>
      <c r="F82" s="173"/>
      <c r="G82" s="257">
        <f>SUM(C$76:F82)</f>
        <v>36</v>
      </c>
      <c r="H82" s="258">
        <f t="shared" si="16"/>
        <v>3</v>
      </c>
      <c r="I82" s="259">
        <f>SUM(J$76:M82)</f>
        <v>33</v>
      </c>
      <c r="J82" s="52"/>
      <c r="K82" s="53"/>
      <c r="L82" s="53" t="s">
        <v>2</v>
      </c>
      <c r="M82" s="173"/>
      <c r="N82" s="248"/>
      <c r="O82" s="56">
        <v>7</v>
      </c>
      <c r="P82" s="52"/>
      <c r="Q82" s="53"/>
      <c r="R82" s="659">
        <v>-21</v>
      </c>
      <c r="S82" s="53"/>
      <c r="T82" s="257">
        <f>SUM(P$76:S82)</f>
        <v>0</v>
      </c>
      <c r="U82" s="258">
        <f t="shared" si="17"/>
        <v>-26</v>
      </c>
      <c r="V82" s="259">
        <f>SUM(W$76:Z82)</f>
        <v>26</v>
      </c>
      <c r="W82" s="52"/>
      <c r="X82" s="53"/>
      <c r="Y82" s="53"/>
      <c r="Z82" s="53"/>
      <c r="AA82" s="248"/>
      <c r="AB82" s="51">
        <v>7</v>
      </c>
      <c r="AC82" s="52"/>
      <c r="AD82" s="53"/>
      <c r="AE82" s="53">
        <v>2</v>
      </c>
      <c r="AF82" s="53"/>
      <c r="AG82" s="257">
        <f>SUM(AC$76:AF82)</f>
        <v>27</v>
      </c>
      <c r="AH82" s="258">
        <f>AG82-AI82</f>
        <v>-9</v>
      </c>
      <c r="AI82" s="259">
        <f>SUM(AJ$76:AM82)</f>
        <v>36</v>
      </c>
      <c r="AJ82" s="52"/>
      <c r="AK82" s="53"/>
      <c r="AL82" s="53">
        <v>3</v>
      </c>
      <c r="AM82" s="53"/>
      <c r="AN82" s="248"/>
      <c r="AO82" s="50"/>
      <c r="AP82" s="38"/>
      <c r="AQ82" s="34"/>
      <c r="AR82" s="34"/>
      <c r="AS82" s="34"/>
      <c r="AT82" s="256"/>
      <c r="AU82" s="248"/>
      <c r="AV82" s="256"/>
      <c r="AW82" s="38"/>
      <c r="AX82" s="34"/>
      <c r="AY82" s="34"/>
      <c r="AZ82" s="34"/>
      <c r="BA82" s="249"/>
      <c r="BB82" s="530">
        <v>7</v>
      </c>
      <c r="BC82" s="531"/>
      <c r="BD82" s="532"/>
      <c r="BE82" s="532" t="s">
        <v>2</v>
      </c>
      <c r="BF82" s="532"/>
      <c r="BG82" s="613">
        <f>SUM(BC$76:BF82)</f>
        <v>31</v>
      </c>
      <c r="BH82" s="614">
        <f t="shared" si="18"/>
        <v>2</v>
      </c>
      <c r="BI82" s="615">
        <f>SUM(BJ$76:BM82)</f>
        <v>29</v>
      </c>
      <c r="BJ82" s="531"/>
      <c r="BK82" s="532"/>
      <c r="BL82" s="532" t="s">
        <v>2</v>
      </c>
      <c r="BM82" s="532"/>
      <c r="BN82" s="605"/>
      <c r="BO82" s="530">
        <v>7</v>
      </c>
      <c r="BP82" s="531"/>
      <c r="BQ82" s="532"/>
      <c r="BR82" s="565">
        <v>7</v>
      </c>
      <c r="BS82" s="532"/>
      <c r="BT82" s="613">
        <f>SUM(BP$76:BS82)</f>
        <v>50</v>
      </c>
      <c r="BU82" s="614">
        <f t="shared" si="19"/>
        <v>22</v>
      </c>
      <c r="BV82" s="615">
        <f>SUM(BW$76:BZ82)</f>
        <v>28</v>
      </c>
      <c r="BW82" s="531"/>
      <c r="BX82" s="532"/>
      <c r="BY82" s="532"/>
      <c r="BZ82" s="532"/>
      <c r="CA82" s="605"/>
    </row>
    <row r="83" spans="1:79" ht="15">
      <c r="A83" s="1537"/>
      <c r="B83" s="56">
        <v>8</v>
      </c>
      <c r="C83" s="53"/>
      <c r="D83" s="52"/>
      <c r="E83" s="53"/>
      <c r="F83" s="53">
        <v>4</v>
      </c>
      <c r="G83" s="257">
        <f>SUM(C$76:F83)</f>
        <v>40</v>
      </c>
      <c r="H83" s="258">
        <f t="shared" si="16"/>
        <v>3</v>
      </c>
      <c r="I83" s="259">
        <f>SUM(J$76:M83)</f>
        <v>37</v>
      </c>
      <c r="J83" s="53"/>
      <c r="K83" s="52"/>
      <c r="L83" s="53"/>
      <c r="M83" s="53">
        <v>4</v>
      </c>
      <c r="N83" s="248"/>
      <c r="O83" s="522"/>
      <c r="P83" s="534"/>
      <c r="Q83" s="616"/>
      <c r="R83" s="534"/>
      <c r="S83" s="534"/>
      <c r="T83" s="616"/>
      <c r="U83" s="607"/>
      <c r="V83" s="607"/>
      <c r="W83" s="534"/>
      <c r="X83" s="616"/>
      <c r="Y83" s="616"/>
      <c r="Z83" s="534"/>
      <c r="AA83" s="248"/>
      <c r="AB83" s="530">
        <v>8</v>
      </c>
      <c r="AC83" s="53"/>
      <c r="AD83" s="52"/>
      <c r="AE83" s="52"/>
      <c r="AF83" s="53">
        <v>9</v>
      </c>
      <c r="AG83" s="257">
        <f>SUM(AC$76:AF83)</f>
        <v>36</v>
      </c>
      <c r="AH83" s="258">
        <f t="shared" si="20"/>
        <v>-10</v>
      </c>
      <c r="AI83" s="259">
        <f>SUM(AJ$76:AM83)</f>
        <v>46</v>
      </c>
      <c r="AJ83" s="53"/>
      <c r="AK83" s="52"/>
      <c r="AL83" s="52"/>
      <c r="AM83" s="53">
        <v>10</v>
      </c>
      <c r="AN83" s="248"/>
      <c r="AO83" s="50"/>
      <c r="AP83" s="34"/>
      <c r="AQ83" s="38"/>
      <c r="AR83" s="38"/>
      <c r="AS83" s="34"/>
      <c r="AT83" s="256"/>
      <c r="AU83" s="248"/>
      <c r="AV83" s="256"/>
      <c r="AW83" s="34"/>
      <c r="AX83" s="38"/>
      <c r="AY83" s="38"/>
      <c r="AZ83" s="34"/>
      <c r="BA83" s="249"/>
      <c r="BB83" s="533">
        <v>8</v>
      </c>
      <c r="BC83" s="532"/>
      <c r="BD83" s="531"/>
      <c r="BE83" s="531"/>
      <c r="BF83" s="532" t="s">
        <v>2</v>
      </c>
      <c r="BG83" s="613">
        <f>SUM(BC$76:BF83)</f>
        <v>31</v>
      </c>
      <c r="BH83" s="614">
        <f t="shared" si="18"/>
        <v>0</v>
      </c>
      <c r="BI83" s="615">
        <f>SUM(BJ$76:BM83)</f>
        <v>31</v>
      </c>
      <c r="BJ83" s="532"/>
      <c r="BK83" s="531"/>
      <c r="BL83" s="531"/>
      <c r="BM83" s="644">
        <v>2</v>
      </c>
      <c r="BN83" s="605"/>
      <c r="BO83" s="522"/>
      <c r="BP83" s="534"/>
      <c r="BQ83" s="616"/>
      <c r="BR83" s="616"/>
      <c r="BS83" s="534"/>
      <c r="BT83" s="616"/>
      <c r="BU83" s="607"/>
      <c r="BV83" s="607"/>
      <c r="BW83" s="534"/>
      <c r="BX83" s="616"/>
      <c r="BY83" s="616"/>
      <c r="BZ83" s="534"/>
      <c r="CA83" s="605"/>
    </row>
    <row r="84" spans="1:79" ht="15">
      <c r="A84" s="1537"/>
      <c r="B84" s="51">
        <v>9</v>
      </c>
      <c r="C84" s="564">
        <v>-15</v>
      </c>
      <c r="D84" s="53"/>
      <c r="E84" s="53"/>
      <c r="F84" s="173"/>
      <c r="G84" s="257">
        <f>SUM(C$76:F84)</f>
        <v>25</v>
      </c>
      <c r="H84" s="258">
        <f t="shared" si="16"/>
        <v>-12</v>
      </c>
      <c r="I84" s="259">
        <f>SUM(J$76:M84)</f>
        <v>37</v>
      </c>
      <c r="J84" s="532" t="s">
        <v>2</v>
      </c>
      <c r="K84" s="53"/>
      <c r="L84" s="53"/>
      <c r="M84" s="173"/>
      <c r="N84" s="248"/>
      <c r="O84" s="522"/>
      <c r="P84" s="534"/>
      <c r="Q84" s="616"/>
      <c r="R84" s="534"/>
      <c r="S84" s="534"/>
      <c r="T84" s="616"/>
      <c r="U84" s="607"/>
      <c r="V84" s="607"/>
      <c r="W84" s="534"/>
      <c r="X84" s="616"/>
      <c r="Y84" s="616"/>
      <c r="Z84" s="534"/>
      <c r="AA84" s="248"/>
      <c r="AB84" s="533">
        <v>9</v>
      </c>
      <c r="AC84" s="531" t="s">
        <v>2</v>
      </c>
      <c r="AD84" s="532"/>
      <c r="AE84" s="532"/>
      <c r="AF84" s="532"/>
      <c r="AG84" s="613">
        <f>SUM(AC$76:AF84)</f>
        <v>36</v>
      </c>
      <c r="AH84" s="614">
        <f>AG84-AI84</f>
        <v>-14</v>
      </c>
      <c r="AI84" s="615">
        <f>SUM(AJ$76:AM84)</f>
        <v>50</v>
      </c>
      <c r="AJ84" s="565">
        <v>4</v>
      </c>
      <c r="AK84" s="532"/>
      <c r="AL84" s="532"/>
      <c r="AM84" s="532"/>
      <c r="AN84" s="248"/>
      <c r="AO84" s="50"/>
      <c r="AP84" s="34"/>
      <c r="AQ84" s="38"/>
      <c r="AR84" s="38"/>
      <c r="AS84" s="34"/>
      <c r="AT84" s="256"/>
      <c r="AU84" s="248"/>
      <c r="AV84" s="256"/>
      <c r="AW84" s="34"/>
      <c r="AX84" s="38"/>
      <c r="AY84" s="38"/>
      <c r="AZ84" s="34"/>
      <c r="BA84" s="249"/>
      <c r="BB84" s="533">
        <v>9</v>
      </c>
      <c r="BC84" s="644">
        <v>4</v>
      </c>
      <c r="BD84" s="531"/>
      <c r="BE84" s="531"/>
      <c r="BF84" s="532"/>
      <c r="BG84" s="613">
        <f>SUM(BC$76:BF84)</f>
        <v>35</v>
      </c>
      <c r="BH84" s="614">
        <f t="shared" si="18"/>
        <v>1</v>
      </c>
      <c r="BI84" s="615">
        <f>SUM(BJ$76:BM84)</f>
        <v>34</v>
      </c>
      <c r="BJ84" s="532">
        <v>3</v>
      </c>
      <c r="BK84" s="531"/>
      <c r="BL84" s="531"/>
      <c r="BM84" s="532"/>
      <c r="BN84" s="605"/>
      <c r="BO84" s="522"/>
      <c r="BP84" s="534"/>
      <c r="BQ84" s="616"/>
      <c r="BR84" s="616"/>
      <c r="BS84" s="534"/>
      <c r="BT84" s="616"/>
      <c r="BU84" s="607"/>
      <c r="BV84" s="607"/>
      <c r="BW84" s="534"/>
      <c r="BX84" s="616"/>
      <c r="BY84" s="616"/>
      <c r="BZ84" s="534"/>
      <c r="CA84" s="605"/>
    </row>
    <row r="85" spans="1:79" ht="15">
      <c r="A85" s="1537"/>
      <c r="B85" s="56">
        <v>10</v>
      </c>
      <c r="C85" s="53"/>
      <c r="D85" s="52">
        <v>12</v>
      </c>
      <c r="E85" s="53"/>
      <c r="F85" s="53"/>
      <c r="G85" s="257">
        <f>SUM(C$76:F85)</f>
        <v>37</v>
      </c>
      <c r="H85" s="258">
        <f t="shared" si="16"/>
        <v>-9</v>
      </c>
      <c r="I85" s="259">
        <f>SUM(J$76:M85)</f>
        <v>46</v>
      </c>
      <c r="J85" s="53"/>
      <c r="K85" s="52">
        <v>9</v>
      </c>
      <c r="L85" s="53"/>
      <c r="M85" s="53"/>
      <c r="N85" s="248"/>
      <c r="O85" s="522"/>
      <c r="P85" s="534"/>
      <c r="Q85" s="616"/>
      <c r="R85" s="534"/>
      <c r="S85" s="534"/>
      <c r="T85" s="616"/>
      <c r="U85" s="607"/>
      <c r="V85" s="607"/>
      <c r="W85" s="534"/>
      <c r="X85" s="616"/>
      <c r="Y85" s="616"/>
      <c r="Z85" s="534"/>
      <c r="AA85" s="248"/>
      <c r="AB85" s="522"/>
      <c r="AC85" s="534"/>
      <c r="AD85" s="616"/>
      <c r="AE85" s="616"/>
      <c r="AF85" s="534"/>
      <c r="AG85" s="616"/>
      <c r="AH85" s="607"/>
      <c r="AI85" s="607"/>
      <c r="AJ85" s="534"/>
      <c r="AK85" s="616"/>
      <c r="AL85" s="616"/>
      <c r="AM85" s="534"/>
      <c r="AN85" s="248"/>
      <c r="AO85" s="50"/>
      <c r="AP85" s="34"/>
      <c r="AQ85" s="38"/>
      <c r="AR85" s="38"/>
      <c r="AS85" s="34"/>
      <c r="AT85" s="256"/>
      <c r="AU85" s="248"/>
      <c r="AV85" s="256"/>
      <c r="AW85" s="34"/>
      <c r="AX85" s="38"/>
      <c r="AY85" s="38"/>
      <c r="AZ85" s="34"/>
      <c r="BA85" s="249"/>
      <c r="BB85" s="530">
        <v>10</v>
      </c>
      <c r="BC85" s="531"/>
      <c r="BD85" s="532">
        <v>4</v>
      </c>
      <c r="BE85" s="532"/>
      <c r="BF85" s="532"/>
      <c r="BG85" s="613">
        <f>SUM(BC$76:BF85)</f>
        <v>39</v>
      </c>
      <c r="BH85" s="614">
        <f t="shared" si="18"/>
        <v>5</v>
      </c>
      <c r="BI85" s="615">
        <f>SUM(BJ$76:BM85)</f>
        <v>34</v>
      </c>
      <c r="BJ85" s="531"/>
      <c r="BK85" s="531" t="s">
        <v>2</v>
      </c>
      <c r="BL85" s="532"/>
      <c r="BM85" s="532"/>
      <c r="BN85" s="605"/>
      <c r="BO85" s="522"/>
      <c r="BP85" s="534"/>
      <c r="BQ85" s="616"/>
      <c r="BR85" s="616"/>
      <c r="BS85" s="534"/>
      <c r="BT85" s="616"/>
      <c r="BU85" s="607"/>
      <c r="BV85" s="607"/>
      <c r="BW85" s="534"/>
      <c r="BX85" s="616"/>
      <c r="BY85" s="616"/>
      <c r="BZ85" s="534"/>
      <c r="CA85" s="605"/>
    </row>
    <row r="86" spans="1:79" ht="15">
      <c r="A86" s="1537"/>
      <c r="B86" s="56">
        <v>11</v>
      </c>
      <c r="C86" s="52"/>
      <c r="D86" s="53"/>
      <c r="E86" s="53">
        <v>4</v>
      </c>
      <c r="F86" s="173"/>
      <c r="G86" s="257">
        <f>SUM(C$76:F86)</f>
        <v>41</v>
      </c>
      <c r="H86" s="258">
        <f t="shared" si="16"/>
        <v>16</v>
      </c>
      <c r="I86" s="259">
        <f>SUM(J$76:M86)</f>
        <v>25</v>
      </c>
      <c r="J86" s="52"/>
      <c r="K86" s="53"/>
      <c r="L86" s="60">
        <v>-21</v>
      </c>
      <c r="M86" s="173"/>
      <c r="N86" s="248"/>
      <c r="O86" s="522"/>
      <c r="P86" s="534"/>
      <c r="Q86" s="616"/>
      <c r="R86" s="534"/>
      <c r="S86" s="534"/>
      <c r="T86" s="616"/>
      <c r="U86" s="607"/>
      <c r="V86" s="607"/>
      <c r="W86" s="534"/>
      <c r="X86" s="616"/>
      <c r="Y86" s="616"/>
      <c r="Z86" s="534"/>
      <c r="AA86" s="248"/>
      <c r="AB86" s="522"/>
      <c r="AC86" s="534"/>
      <c r="AD86" s="616"/>
      <c r="AE86" s="616"/>
      <c r="AF86" s="534"/>
      <c r="AG86" s="616"/>
      <c r="AH86" s="607"/>
      <c r="AI86" s="607"/>
      <c r="AJ86" s="534"/>
      <c r="AK86" s="616"/>
      <c r="AL86" s="616"/>
      <c r="AM86" s="534"/>
      <c r="AN86" s="248"/>
      <c r="AO86" s="50"/>
      <c r="AP86" s="34"/>
      <c r="AQ86" s="38"/>
      <c r="AR86" s="38"/>
      <c r="AS86" s="34"/>
      <c r="AT86" s="256"/>
      <c r="AU86" s="248"/>
      <c r="AV86" s="256"/>
      <c r="AW86" s="34"/>
      <c r="AX86" s="38"/>
      <c r="AY86" s="38"/>
      <c r="AZ86" s="34"/>
      <c r="BA86" s="249"/>
      <c r="BB86" s="533">
        <v>11</v>
      </c>
      <c r="BC86" s="532"/>
      <c r="BD86" s="531"/>
      <c r="BE86" s="531">
        <v>2</v>
      </c>
      <c r="BF86" s="532"/>
      <c r="BG86" s="613">
        <f>SUM(BC$76:BF86)</f>
        <v>41</v>
      </c>
      <c r="BH86" s="614">
        <f t="shared" si="18"/>
        <v>-2</v>
      </c>
      <c r="BI86" s="615">
        <f>SUM(BJ$76:BM86)</f>
        <v>43</v>
      </c>
      <c r="BJ86" s="532"/>
      <c r="BK86" s="531"/>
      <c r="BL86" s="531">
        <v>9</v>
      </c>
      <c r="BM86" s="532"/>
      <c r="BN86" s="605"/>
      <c r="BO86" s="522"/>
      <c r="BP86" s="534"/>
      <c r="BQ86" s="616"/>
      <c r="BR86" s="616"/>
      <c r="BS86" s="534"/>
      <c r="BT86" s="616"/>
      <c r="BU86" s="607"/>
      <c r="BV86" s="607"/>
      <c r="BW86" s="534"/>
      <c r="BX86" s="616"/>
      <c r="BY86" s="616"/>
      <c r="BZ86" s="534"/>
      <c r="CA86" s="605"/>
    </row>
    <row r="87" spans="1:79" ht="15">
      <c r="A87" s="1537"/>
      <c r="B87" s="51">
        <v>12</v>
      </c>
      <c r="C87" s="53"/>
      <c r="D87" s="52"/>
      <c r="E87" s="53"/>
      <c r="F87" s="532">
        <v>2</v>
      </c>
      <c r="G87" s="257">
        <f>SUM(C$76:F87)</f>
        <v>43</v>
      </c>
      <c r="H87" s="258">
        <f t="shared" si="16"/>
        <v>18</v>
      </c>
      <c r="I87" s="259">
        <f>SUM(J$76:M87)</f>
        <v>25</v>
      </c>
      <c r="J87" s="53"/>
      <c r="K87" s="52"/>
      <c r="L87" s="53"/>
      <c r="M87" s="53" t="s">
        <v>2</v>
      </c>
      <c r="N87" s="248"/>
      <c r="O87" s="522"/>
      <c r="P87" s="534"/>
      <c r="Q87" s="616"/>
      <c r="R87" s="534"/>
      <c r="S87" s="534"/>
      <c r="T87" s="616"/>
      <c r="U87" s="607"/>
      <c r="V87" s="607"/>
      <c r="W87" s="534"/>
      <c r="X87" s="616"/>
      <c r="Y87" s="616"/>
      <c r="Z87" s="534"/>
      <c r="AA87" s="248"/>
      <c r="AB87" s="522"/>
      <c r="AC87" s="534"/>
      <c r="AD87" s="616"/>
      <c r="AE87" s="616"/>
      <c r="AF87" s="534"/>
      <c r="AG87" s="616"/>
      <c r="AH87" s="607"/>
      <c r="AI87" s="607"/>
      <c r="AJ87" s="534"/>
      <c r="AK87" s="616"/>
      <c r="AL87" s="616"/>
      <c r="AM87" s="534"/>
      <c r="AN87" s="248"/>
      <c r="AO87" s="50"/>
      <c r="AP87" s="34"/>
      <c r="AQ87" s="38"/>
      <c r="AR87" s="38"/>
      <c r="AS87" s="34"/>
      <c r="AT87" s="256"/>
      <c r="AU87" s="248"/>
      <c r="AV87" s="256"/>
      <c r="AW87" s="34"/>
      <c r="AX87" s="38"/>
      <c r="AY87" s="38"/>
      <c r="AZ87" s="34"/>
      <c r="BA87" s="249"/>
      <c r="BB87" s="533">
        <v>12</v>
      </c>
      <c r="BC87" s="531"/>
      <c r="BD87" s="532"/>
      <c r="BE87" s="532"/>
      <c r="BF87" s="565">
        <v>9</v>
      </c>
      <c r="BG87" s="613">
        <f>SUM(BC$76:BF87)</f>
        <v>50</v>
      </c>
      <c r="BH87" s="614">
        <f t="shared" si="18"/>
        <v>7</v>
      </c>
      <c r="BI87" s="615">
        <f>SUM(BJ$76:BM87)</f>
        <v>43</v>
      </c>
      <c r="BJ87" s="531"/>
      <c r="BK87" s="532"/>
      <c r="BL87" s="532"/>
      <c r="BM87" s="532"/>
      <c r="BN87" s="605"/>
      <c r="BO87" s="522"/>
      <c r="BP87" s="534"/>
      <c r="BQ87" s="616"/>
      <c r="BR87" s="616"/>
      <c r="BS87" s="534"/>
      <c r="BT87" s="616"/>
      <c r="BU87" s="607"/>
      <c r="BV87" s="607"/>
      <c r="BW87" s="534"/>
      <c r="BX87" s="616"/>
      <c r="BY87" s="616"/>
      <c r="BZ87" s="534"/>
      <c r="CA87" s="605"/>
    </row>
    <row r="88" spans="1:79" ht="15">
      <c r="A88" s="1537"/>
      <c r="B88" s="56">
        <v>13</v>
      </c>
      <c r="C88" s="52" t="s">
        <v>2</v>
      </c>
      <c r="D88" s="53"/>
      <c r="E88" s="53"/>
      <c r="F88" s="173"/>
      <c r="G88" s="257">
        <f>SUM(C$76:F88)</f>
        <v>43</v>
      </c>
      <c r="H88" s="258">
        <f t="shared" si="16"/>
        <v>8</v>
      </c>
      <c r="I88" s="259">
        <f>SUM(J$76:M88)</f>
        <v>35</v>
      </c>
      <c r="J88" s="52">
        <v>10</v>
      </c>
      <c r="K88" s="53"/>
      <c r="L88" s="53"/>
      <c r="M88" s="173"/>
      <c r="N88" s="248"/>
      <c r="O88" s="522"/>
      <c r="P88" s="534"/>
      <c r="Q88" s="616"/>
      <c r="R88" s="534"/>
      <c r="S88" s="534"/>
      <c r="T88" s="616"/>
      <c r="U88" s="607"/>
      <c r="V88" s="607"/>
      <c r="W88" s="534"/>
      <c r="X88" s="616"/>
      <c r="Y88" s="616"/>
      <c r="Z88" s="534"/>
      <c r="AA88" s="248"/>
      <c r="AB88" s="522"/>
      <c r="AC88" s="534"/>
      <c r="AD88" s="616"/>
      <c r="AE88" s="616"/>
      <c r="AF88" s="534"/>
      <c r="AG88" s="616"/>
      <c r="AH88" s="607"/>
      <c r="AI88" s="607"/>
      <c r="AJ88" s="534"/>
      <c r="AK88" s="616"/>
      <c r="AL88" s="616"/>
      <c r="AM88" s="534"/>
      <c r="AN88" s="248"/>
      <c r="AO88" s="50"/>
      <c r="AP88" s="34"/>
      <c r="AQ88" s="38"/>
      <c r="AR88" s="38"/>
      <c r="AS88" s="34"/>
      <c r="AT88" s="256"/>
      <c r="AU88" s="248"/>
      <c r="AV88" s="256"/>
      <c r="AW88" s="34"/>
      <c r="AX88" s="38"/>
      <c r="AY88" s="38"/>
      <c r="AZ88" s="34"/>
      <c r="BA88" s="249"/>
      <c r="BB88" s="522"/>
      <c r="BC88" s="534"/>
      <c r="BD88" s="616"/>
      <c r="BE88" s="616"/>
      <c r="BF88" s="534"/>
      <c r="BG88" s="616"/>
      <c r="BH88" s="607"/>
      <c r="BI88" s="607"/>
      <c r="BJ88" s="534"/>
      <c r="BK88" s="616"/>
      <c r="BL88" s="616"/>
      <c r="BM88" s="534"/>
      <c r="BN88" s="605"/>
      <c r="BO88" s="522"/>
      <c r="BP88" s="534"/>
      <c r="BQ88" s="616"/>
      <c r="BR88" s="616"/>
      <c r="BS88" s="534"/>
      <c r="BT88" s="616"/>
      <c r="BU88" s="607"/>
      <c r="BV88" s="607"/>
      <c r="BW88" s="534"/>
      <c r="BX88" s="616"/>
      <c r="BY88" s="616"/>
      <c r="BZ88" s="534"/>
      <c r="CA88" s="605"/>
    </row>
    <row r="89" spans="1:79" ht="15">
      <c r="A89" s="1537"/>
      <c r="B89" s="56">
        <v>14</v>
      </c>
      <c r="C89" s="53"/>
      <c r="D89" s="52">
        <v>2</v>
      </c>
      <c r="E89" s="53"/>
      <c r="F89" s="53"/>
      <c r="G89" s="257">
        <f>SUM(C$76:F89)</f>
        <v>45</v>
      </c>
      <c r="H89" s="258">
        <f t="shared" si="16"/>
        <v>5</v>
      </c>
      <c r="I89" s="259">
        <f>SUM(J$76:M89)</f>
        <v>40</v>
      </c>
      <c r="J89" s="53"/>
      <c r="K89" s="53">
        <v>5</v>
      </c>
      <c r="L89" s="53"/>
      <c r="M89" s="53"/>
      <c r="N89" s="248"/>
      <c r="O89" s="40"/>
      <c r="P89" s="58"/>
      <c r="Q89" s="260"/>
      <c r="R89" s="58"/>
      <c r="S89" s="58"/>
      <c r="T89" s="260"/>
      <c r="U89" s="251"/>
      <c r="V89" s="251"/>
      <c r="W89" s="58"/>
      <c r="X89" s="260"/>
      <c r="Y89" s="260"/>
      <c r="Z89" s="58"/>
      <c r="AA89" s="248"/>
      <c r="AB89" s="522"/>
      <c r="AC89" s="534"/>
      <c r="AD89" s="616"/>
      <c r="AE89" s="616"/>
      <c r="AF89" s="534"/>
      <c r="AG89" s="616"/>
      <c r="AH89" s="607"/>
      <c r="AI89" s="607"/>
      <c r="AJ89" s="534"/>
      <c r="AK89" s="616"/>
      <c r="AL89" s="616"/>
      <c r="AM89" s="534"/>
      <c r="AN89" s="248"/>
      <c r="AO89" s="50"/>
      <c r="AP89" s="34"/>
      <c r="AQ89" s="38"/>
      <c r="AR89" s="38"/>
      <c r="AS89" s="34"/>
      <c r="AT89" s="256"/>
      <c r="AU89" s="248"/>
      <c r="AV89" s="256"/>
      <c r="AW89" s="34"/>
      <c r="AX89" s="38"/>
      <c r="AY89" s="38"/>
      <c r="AZ89" s="34"/>
      <c r="BA89" s="249"/>
      <c r="BB89" s="522"/>
      <c r="BC89" s="534"/>
      <c r="BD89" s="616"/>
      <c r="BE89" s="616"/>
      <c r="BF89" s="534"/>
      <c r="BG89" s="616"/>
      <c r="BH89" s="607"/>
      <c r="BI89" s="607"/>
      <c r="BJ89" s="534"/>
      <c r="BK89" s="616"/>
      <c r="BL89" s="616"/>
      <c r="BM89" s="534"/>
      <c r="BN89" s="605"/>
      <c r="BO89" s="522"/>
      <c r="BP89" s="534"/>
      <c r="BQ89" s="616"/>
      <c r="BR89" s="616"/>
      <c r="BS89" s="534"/>
      <c r="BT89" s="616"/>
      <c r="BU89" s="607"/>
      <c r="BV89" s="607"/>
      <c r="BW89" s="534"/>
      <c r="BX89" s="616"/>
      <c r="BY89" s="616"/>
      <c r="BZ89" s="534"/>
      <c r="CA89" s="605"/>
    </row>
    <row r="90" spans="1:79" ht="15">
      <c r="A90" s="1537"/>
      <c r="B90" s="51">
        <v>15</v>
      </c>
      <c r="C90" s="52"/>
      <c r="D90" s="53"/>
      <c r="E90" s="564">
        <v>-20</v>
      </c>
      <c r="F90" s="173"/>
      <c r="G90" s="257">
        <f>SUM(C$76:F90)</f>
        <v>25</v>
      </c>
      <c r="H90" s="258">
        <f t="shared" si="16"/>
        <v>-15</v>
      </c>
      <c r="I90" s="259">
        <f>SUM(J$76:M90)</f>
        <v>40</v>
      </c>
      <c r="J90" s="52"/>
      <c r="K90" s="53"/>
      <c r="L90" s="53" t="s">
        <v>2</v>
      </c>
      <c r="M90" s="173"/>
      <c r="N90" s="248"/>
      <c r="O90" s="40"/>
      <c r="P90" s="58"/>
      <c r="Q90" s="260"/>
      <c r="R90" s="58"/>
      <c r="S90" s="58"/>
      <c r="T90" s="260"/>
      <c r="U90" s="251"/>
      <c r="V90" s="251"/>
      <c r="W90" s="58"/>
      <c r="X90" s="260"/>
      <c r="Y90" s="260"/>
      <c r="Z90" s="58"/>
      <c r="AA90" s="248"/>
      <c r="AB90" s="40"/>
      <c r="AC90" s="58"/>
      <c r="AD90" s="260"/>
      <c r="AE90" s="260"/>
      <c r="AF90" s="58"/>
      <c r="AG90" s="260"/>
      <c r="AH90" s="251"/>
      <c r="AI90" s="251"/>
      <c r="AJ90" s="58"/>
      <c r="AK90" s="260"/>
      <c r="AL90" s="260"/>
      <c r="AM90" s="58"/>
      <c r="AN90" s="248"/>
      <c r="AO90" s="50"/>
      <c r="AP90" s="34"/>
      <c r="AQ90" s="38"/>
      <c r="AR90" s="38"/>
      <c r="AS90" s="34"/>
      <c r="AT90" s="256"/>
      <c r="AU90" s="248"/>
      <c r="AV90" s="256"/>
      <c r="AW90" s="34"/>
      <c r="AX90" s="38"/>
      <c r="AY90" s="38"/>
      <c r="AZ90" s="34"/>
      <c r="BA90" s="249"/>
      <c r="BB90" s="522"/>
      <c r="BC90" s="534"/>
      <c r="BD90" s="616"/>
      <c r="BE90" s="616"/>
      <c r="BF90" s="534"/>
      <c r="BG90" s="616"/>
      <c r="BH90" s="607"/>
      <c r="BI90" s="607"/>
      <c r="BJ90" s="534"/>
      <c r="BK90" s="616"/>
      <c r="BL90" s="616"/>
      <c r="BM90" s="534"/>
      <c r="BN90" s="605"/>
      <c r="BO90" s="522"/>
      <c r="BP90" s="534"/>
      <c r="BQ90" s="616"/>
      <c r="BR90" s="616"/>
      <c r="BS90" s="534"/>
      <c r="BT90" s="616"/>
      <c r="BU90" s="607"/>
      <c r="BV90" s="607"/>
      <c r="BW90" s="534"/>
      <c r="BX90" s="616"/>
      <c r="BY90" s="616"/>
      <c r="BZ90" s="534"/>
      <c r="CA90" s="605"/>
    </row>
    <row r="91" spans="1:79" ht="15">
      <c r="A91" s="1537"/>
      <c r="B91" s="56">
        <v>16</v>
      </c>
      <c r="C91" s="53"/>
      <c r="D91" s="52"/>
      <c r="E91" s="53"/>
      <c r="F91" s="53">
        <v>12</v>
      </c>
      <c r="G91" s="257">
        <f>SUM(C$76:F91)</f>
        <v>37</v>
      </c>
      <c r="H91" s="258">
        <f t="shared" si="16"/>
        <v>-3</v>
      </c>
      <c r="I91" s="259">
        <f>SUM(J$76:M91)</f>
        <v>40</v>
      </c>
      <c r="J91" s="53"/>
      <c r="K91" s="52"/>
      <c r="L91" s="53"/>
      <c r="M91" s="53" t="s">
        <v>2</v>
      </c>
      <c r="N91" s="248"/>
      <c r="O91" s="40"/>
      <c r="P91" s="58"/>
      <c r="Q91" s="260"/>
      <c r="R91" s="58"/>
      <c r="S91" s="58"/>
      <c r="T91" s="260"/>
      <c r="U91" s="251"/>
      <c r="V91" s="251"/>
      <c r="W91" s="58"/>
      <c r="X91" s="260"/>
      <c r="Y91" s="260"/>
      <c r="Z91" s="58"/>
      <c r="AA91" s="248"/>
      <c r="AB91" s="40"/>
      <c r="AC91" s="58"/>
      <c r="AD91" s="260"/>
      <c r="AE91" s="260"/>
      <c r="AF91" s="58"/>
      <c r="AG91" s="260"/>
      <c r="AH91" s="251"/>
      <c r="AI91" s="251"/>
      <c r="AJ91" s="58"/>
      <c r="AK91" s="260"/>
      <c r="AL91" s="260"/>
      <c r="AM91" s="58"/>
      <c r="AN91" s="248"/>
      <c r="AO91" s="50"/>
      <c r="AP91" s="34"/>
      <c r="AQ91" s="38"/>
      <c r="AR91" s="38"/>
      <c r="AS91" s="34"/>
      <c r="AT91" s="256"/>
      <c r="AU91" s="248"/>
      <c r="AV91" s="256"/>
      <c r="AW91" s="34"/>
      <c r="AX91" s="38"/>
      <c r="AY91" s="38"/>
      <c r="AZ91" s="34"/>
      <c r="BA91" s="249"/>
      <c r="BB91" s="522"/>
      <c r="BC91" s="534"/>
      <c r="BD91" s="616"/>
      <c r="BE91" s="616"/>
      <c r="BF91" s="534"/>
      <c r="BG91" s="616"/>
      <c r="BH91" s="607"/>
      <c r="BI91" s="607"/>
      <c r="BJ91" s="534"/>
      <c r="BK91" s="616"/>
      <c r="BL91" s="616"/>
      <c r="BM91" s="534"/>
      <c r="BN91" s="605"/>
      <c r="BO91" s="522"/>
      <c r="BP91" s="534"/>
      <c r="BQ91" s="616"/>
      <c r="BR91" s="616"/>
      <c r="BS91" s="534"/>
      <c r="BT91" s="616"/>
      <c r="BU91" s="607"/>
      <c r="BV91" s="607"/>
      <c r="BW91" s="534"/>
      <c r="BX91" s="616"/>
      <c r="BY91" s="616"/>
      <c r="BZ91" s="534"/>
      <c r="CA91" s="605"/>
    </row>
    <row r="92" spans="1:79" ht="15">
      <c r="A92" s="1537"/>
      <c r="B92" s="51">
        <v>17</v>
      </c>
      <c r="C92" s="532">
        <v>2</v>
      </c>
      <c r="D92" s="53"/>
      <c r="E92" s="53"/>
      <c r="F92" s="173"/>
      <c r="G92" s="257">
        <f>SUM(C$76:F92)</f>
        <v>39</v>
      </c>
      <c r="H92" s="258">
        <f t="shared" si="16"/>
        <v>-3</v>
      </c>
      <c r="I92" s="259">
        <f>SUM(J$76:M92)</f>
        <v>42</v>
      </c>
      <c r="J92" s="644">
        <v>2</v>
      </c>
      <c r="K92" s="53"/>
      <c r="L92" s="53"/>
      <c r="M92" s="173"/>
      <c r="N92" s="248"/>
      <c r="O92" s="40"/>
      <c r="P92" s="58"/>
      <c r="Q92" s="260"/>
      <c r="R92" s="58"/>
      <c r="S92" s="58"/>
      <c r="T92" s="260"/>
      <c r="U92" s="251"/>
      <c r="V92" s="251"/>
      <c r="W92" s="58"/>
      <c r="X92" s="260"/>
      <c r="Y92" s="260"/>
      <c r="Z92" s="58"/>
      <c r="AA92" s="248"/>
      <c r="AB92" s="40"/>
      <c r="AC92" s="58"/>
      <c r="AD92" s="260"/>
      <c r="AE92" s="260"/>
      <c r="AF92" s="58"/>
      <c r="AG92" s="260"/>
      <c r="AH92" s="251"/>
      <c r="AI92" s="251"/>
      <c r="AJ92" s="58"/>
      <c r="AK92" s="260"/>
      <c r="AL92" s="260"/>
      <c r="AM92" s="58"/>
      <c r="AN92" s="248"/>
      <c r="AO92" s="50"/>
      <c r="AP92" s="34"/>
      <c r="AQ92" s="38"/>
      <c r="AR92" s="38"/>
      <c r="AS92" s="34"/>
      <c r="AT92" s="256"/>
      <c r="AU92" s="248"/>
      <c r="AV92" s="256"/>
      <c r="AW92" s="34"/>
      <c r="AX92" s="38"/>
      <c r="AY92" s="38"/>
      <c r="AZ92" s="34"/>
      <c r="BA92" s="249"/>
      <c r="BB92" s="522"/>
      <c r="BC92" s="534"/>
      <c r="BD92" s="616"/>
      <c r="BE92" s="616"/>
      <c r="BF92" s="534"/>
      <c r="BG92" s="616"/>
      <c r="BH92" s="607"/>
      <c r="BI92" s="607"/>
      <c r="BJ92" s="534"/>
      <c r="BK92" s="616"/>
      <c r="BL92" s="616"/>
      <c r="BM92" s="534"/>
      <c r="BN92" s="605"/>
      <c r="BO92" s="522"/>
      <c r="BP92" s="534"/>
      <c r="BQ92" s="616"/>
      <c r="BR92" s="616"/>
      <c r="BS92" s="534"/>
      <c r="BT92" s="616"/>
      <c r="BU92" s="607"/>
      <c r="BV92" s="607"/>
      <c r="BW92" s="534"/>
      <c r="BX92" s="616"/>
      <c r="BY92" s="616"/>
      <c r="BZ92" s="534"/>
      <c r="CA92" s="605"/>
    </row>
    <row r="93" spans="1:79" s="517" customFormat="1" ht="15">
      <c r="A93" s="1537"/>
      <c r="B93" s="530">
        <v>18</v>
      </c>
      <c r="C93" s="532"/>
      <c r="D93" s="532">
        <v>2</v>
      </c>
      <c r="E93" s="532"/>
      <c r="F93" s="600"/>
      <c r="G93" s="613">
        <f>SUM(C$76:F93)</f>
        <v>41</v>
      </c>
      <c r="H93" s="614">
        <f t="shared" si="16"/>
        <v>-3</v>
      </c>
      <c r="I93" s="615">
        <f>SUM(J$76:M93)</f>
        <v>44</v>
      </c>
      <c r="J93" s="531"/>
      <c r="K93" s="532">
        <v>2</v>
      </c>
      <c r="L93" s="532"/>
      <c r="M93" s="600"/>
      <c r="N93" s="604"/>
      <c r="O93" s="522"/>
      <c r="P93" s="534"/>
      <c r="Q93" s="616"/>
      <c r="R93" s="534"/>
      <c r="S93" s="534"/>
      <c r="T93" s="616"/>
      <c r="U93" s="607"/>
      <c r="V93" s="607"/>
      <c r="W93" s="534"/>
      <c r="X93" s="616"/>
      <c r="Y93" s="616"/>
      <c r="Z93" s="534"/>
      <c r="AA93" s="604"/>
      <c r="AB93" s="522"/>
      <c r="AC93" s="534"/>
      <c r="AD93" s="616"/>
      <c r="AE93" s="616"/>
      <c r="AF93" s="534"/>
      <c r="AG93" s="616"/>
      <c r="AH93" s="607"/>
      <c r="AI93" s="607"/>
      <c r="AJ93" s="534"/>
      <c r="AK93" s="616"/>
      <c r="AL93" s="616"/>
      <c r="AM93" s="534"/>
      <c r="AN93" s="604"/>
      <c r="AO93" s="529"/>
      <c r="AP93" s="518"/>
      <c r="AQ93" s="520"/>
      <c r="AR93" s="520"/>
      <c r="AS93" s="518"/>
      <c r="AT93" s="612"/>
      <c r="AU93" s="604"/>
      <c r="AV93" s="612"/>
      <c r="AW93" s="518"/>
      <c r="AX93" s="520"/>
      <c r="AY93" s="520"/>
      <c r="AZ93" s="518"/>
      <c r="BA93" s="605"/>
      <c r="BB93" s="522"/>
      <c r="BC93" s="534"/>
      <c r="BD93" s="616"/>
      <c r="BE93" s="616"/>
      <c r="BF93" s="534"/>
      <c r="BG93" s="616"/>
      <c r="BH93" s="607"/>
      <c r="BI93" s="607"/>
      <c r="BJ93" s="534"/>
      <c r="BK93" s="616"/>
      <c r="BL93" s="616"/>
      <c r="BM93" s="534"/>
      <c r="BN93" s="605"/>
      <c r="BO93" s="522"/>
      <c r="BP93" s="534"/>
      <c r="BQ93" s="616"/>
      <c r="BR93" s="616"/>
      <c r="BS93" s="534"/>
      <c r="BT93" s="616"/>
      <c r="BU93" s="607"/>
      <c r="BV93" s="607"/>
      <c r="BW93" s="534"/>
      <c r="BX93" s="616"/>
      <c r="BY93" s="616"/>
      <c r="BZ93" s="534"/>
      <c r="CA93" s="605"/>
    </row>
    <row r="94" spans="1:79" s="517" customFormat="1" ht="15">
      <c r="A94" s="1537"/>
      <c r="B94" s="530">
        <v>19</v>
      </c>
      <c r="C94" s="532"/>
      <c r="D94" s="532"/>
      <c r="E94" s="532">
        <v>2</v>
      </c>
      <c r="F94" s="600"/>
      <c r="G94" s="613">
        <f>SUM(C$76:F94)</f>
        <v>43</v>
      </c>
      <c r="H94" s="614">
        <f t="shared" si="16"/>
        <v>18</v>
      </c>
      <c r="I94" s="615">
        <f>SUM(J$76:M94)</f>
        <v>25</v>
      </c>
      <c r="J94" s="531"/>
      <c r="K94" s="532"/>
      <c r="L94" s="535">
        <v>-19</v>
      </c>
      <c r="M94" s="600"/>
      <c r="N94" s="604"/>
      <c r="O94" s="522"/>
      <c r="P94" s="534"/>
      <c r="Q94" s="616"/>
      <c r="R94" s="534"/>
      <c r="S94" s="534"/>
      <c r="T94" s="616"/>
      <c r="U94" s="607"/>
      <c r="V94" s="607"/>
      <c r="W94" s="534"/>
      <c r="X94" s="616"/>
      <c r="Y94" s="616"/>
      <c r="Z94" s="534"/>
      <c r="AA94" s="604"/>
      <c r="AB94" s="522"/>
      <c r="AC94" s="534"/>
      <c r="AD94" s="616"/>
      <c r="AE94" s="616"/>
      <c r="AF94" s="534"/>
      <c r="AG94" s="616"/>
      <c r="AH94" s="607"/>
      <c r="AI94" s="607"/>
      <c r="AJ94" s="534"/>
      <c r="AK94" s="616"/>
      <c r="AL94" s="616"/>
      <c r="AM94" s="534"/>
      <c r="AN94" s="604"/>
      <c r="AO94" s="529"/>
      <c r="AP94" s="518"/>
      <c r="AQ94" s="520"/>
      <c r="AR94" s="520"/>
      <c r="AS94" s="518"/>
      <c r="AT94" s="612"/>
      <c r="AU94" s="604"/>
      <c r="AV94" s="612"/>
      <c r="AW94" s="518"/>
      <c r="AX94" s="520"/>
      <c r="AY94" s="520"/>
      <c r="AZ94" s="518"/>
      <c r="BA94" s="605"/>
      <c r="BB94" s="522"/>
      <c r="BC94" s="534"/>
      <c r="BD94" s="616"/>
      <c r="BE94" s="616"/>
      <c r="BF94" s="534"/>
      <c r="BG94" s="616"/>
      <c r="BH94" s="607"/>
      <c r="BI94" s="607"/>
      <c r="BJ94" s="534"/>
      <c r="BK94" s="616"/>
      <c r="BL94" s="616"/>
      <c r="BM94" s="534"/>
      <c r="BN94" s="605"/>
      <c r="BO94" s="522"/>
      <c r="BP94" s="534"/>
      <c r="BQ94" s="616"/>
      <c r="BR94" s="616"/>
      <c r="BS94" s="534"/>
      <c r="BT94" s="616"/>
      <c r="BU94" s="607"/>
      <c r="BV94" s="607"/>
      <c r="BW94" s="534"/>
      <c r="BX94" s="616"/>
      <c r="BY94" s="616"/>
      <c r="BZ94" s="534"/>
      <c r="CA94" s="605"/>
    </row>
    <row r="95" spans="1:79" s="517" customFormat="1" ht="15">
      <c r="A95" s="1537"/>
      <c r="B95" s="530">
        <v>20</v>
      </c>
      <c r="C95" s="532"/>
      <c r="D95" s="532"/>
      <c r="E95" s="532"/>
      <c r="F95" s="565">
        <v>7</v>
      </c>
      <c r="G95" s="613">
        <f>SUM(C$76:F95)</f>
        <v>50</v>
      </c>
      <c r="H95" s="614">
        <f t="shared" si="16"/>
        <v>25</v>
      </c>
      <c r="I95" s="615">
        <f>SUM(J$76:M95)</f>
        <v>25</v>
      </c>
      <c r="J95" s="531"/>
      <c r="K95" s="532"/>
      <c r="L95" s="532"/>
      <c r="M95" s="600"/>
      <c r="N95" s="604"/>
      <c r="O95" s="522"/>
      <c r="P95" s="534"/>
      <c r="Q95" s="616"/>
      <c r="R95" s="534"/>
      <c r="S95" s="534"/>
      <c r="T95" s="616"/>
      <c r="U95" s="607"/>
      <c r="V95" s="607"/>
      <c r="W95" s="534"/>
      <c r="X95" s="616"/>
      <c r="Y95" s="616"/>
      <c r="Z95" s="534"/>
      <c r="AA95" s="604"/>
      <c r="AB95" s="522"/>
      <c r="AC95" s="534"/>
      <c r="AD95" s="616"/>
      <c r="AE95" s="616"/>
      <c r="AF95" s="534"/>
      <c r="AG95" s="616"/>
      <c r="AH95" s="607"/>
      <c r="AI95" s="607"/>
      <c r="AJ95" s="534"/>
      <c r="AK95" s="616"/>
      <c r="AL95" s="616"/>
      <c r="AM95" s="534"/>
      <c r="AN95" s="604"/>
      <c r="AO95" s="529"/>
      <c r="AP95" s="518"/>
      <c r="AQ95" s="520"/>
      <c r="AR95" s="520"/>
      <c r="AS95" s="518"/>
      <c r="AT95" s="612"/>
      <c r="AU95" s="604"/>
      <c r="AV95" s="612"/>
      <c r="AW95" s="518"/>
      <c r="AX95" s="520"/>
      <c r="AY95" s="520"/>
      <c r="AZ95" s="518"/>
      <c r="BA95" s="605"/>
      <c r="BB95" s="522"/>
      <c r="BC95" s="534"/>
      <c r="BD95" s="616"/>
      <c r="BE95" s="616"/>
      <c r="BF95" s="534"/>
      <c r="BG95" s="616"/>
      <c r="BH95" s="607"/>
      <c r="BI95" s="607"/>
      <c r="BJ95" s="534"/>
      <c r="BK95" s="616"/>
      <c r="BL95" s="616"/>
      <c r="BM95" s="534"/>
      <c r="BN95" s="605"/>
      <c r="BO95" s="522"/>
      <c r="BP95" s="534"/>
      <c r="BQ95" s="616"/>
      <c r="BR95" s="616"/>
      <c r="BS95" s="534"/>
      <c r="BT95" s="616"/>
      <c r="BU95" s="607"/>
      <c r="BV95" s="607"/>
      <c r="BW95" s="534"/>
      <c r="BX95" s="616"/>
      <c r="BY95" s="616"/>
      <c r="BZ95" s="534"/>
      <c r="CA95" s="605"/>
    </row>
    <row r="96" spans="1:79">
      <c r="A96" s="1537"/>
      <c r="B96" s="40"/>
      <c r="C96" s="58"/>
      <c r="D96" s="260"/>
      <c r="E96" s="260"/>
      <c r="F96" s="58"/>
      <c r="G96" s="260"/>
      <c r="H96" s="251"/>
      <c r="I96" s="251"/>
      <c r="J96" s="58"/>
      <c r="K96" s="260"/>
      <c r="L96" s="260"/>
      <c r="M96" s="58"/>
      <c r="N96" s="248"/>
      <c r="O96" s="40"/>
      <c r="P96" s="58"/>
      <c r="Q96" s="260"/>
      <c r="R96" s="58"/>
      <c r="S96" s="58"/>
      <c r="T96" s="260"/>
      <c r="U96" s="251"/>
      <c r="V96" s="251"/>
      <c r="W96" s="58"/>
      <c r="X96" s="260"/>
      <c r="Y96" s="260"/>
      <c r="Z96" s="58"/>
      <c r="AA96" s="248"/>
      <c r="AB96" s="40"/>
      <c r="AC96" s="58"/>
      <c r="AD96" s="260"/>
      <c r="AE96" s="260"/>
      <c r="AF96" s="58"/>
      <c r="AG96" s="260"/>
      <c r="AH96" s="251"/>
      <c r="AI96" s="251"/>
      <c r="AJ96" s="58"/>
      <c r="AK96" s="260"/>
      <c r="AL96" s="260"/>
      <c r="AM96" s="58"/>
      <c r="AN96" s="248"/>
      <c r="AO96" s="50"/>
      <c r="AP96" s="34"/>
      <c r="AQ96" s="250"/>
      <c r="AR96" s="250"/>
      <c r="AS96" s="34"/>
      <c r="AT96" s="250"/>
      <c r="AU96" s="248"/>
      <c r="AV96" s="248"/>
      <c r="AW96" s="34"/>
      <c r="AX96" s="250"/>
      <c r="AY96" s="250"/>
      <c r="AZ96" s="34"/>
      <c r="BA96" s="249"/>
      <c r="BB96" s="522"/>
      <c r="BC96" s="534"/>
      <c r="BD96" s="616"/>
      <c r="BE96" s="616"/>
      <c r="BF96" s="534"/>
      <c r="BG96" s="616"/>
      <c r="BH96" s="607"/>
      <c r="BI96" s="607"/>
      <c r="BJ96" s="534"/>
      <c r="BK96" s="616"/>
      <c r="BL96" s="616"/>
      <c r="BM96" s="534"/>
      <c r="BN96" s="605"/>
      <c r="BO96" s="522"/>
      <c r="BP96" s="534"/>
      <c r="BQ96" s="616"/>
      <c r="BR96" s="616"/>
      <c r="BS96" s="534"/>
      <c r="BT96" s="616"/>
      <c r="BU96" s="607"/>
      <c r="BV96" s="607"/>
      <c r="BW96" s="534"/>
      <c r="BX96" s="616"/>
      <c r="BY96" s="616"/>
      <c r="BZ96" s="534"/>
      <c r="CA96" s="605"/>
    </row>
    <row r="97" spans="1:79" ht="15">
      <c r="A97" s="1537"/>
      <c r="B97" s="64" t="s">
        <v>3</v>
      </c>
      <c r="C97" s="564">
        <f>SUM(C76:C96)</f>
        <v>-1</v>
      </c>
      <c r="D97" s="52">
        <f>SUM(D76:D96)</f>
        <v>24</v>
      </c>
      <c r="E97" s="564">
        <f>SUM(E76:E96)</f>
        <v>-1</v>
      </c>
      <c r="F97" s="52">
        <f>SUM(F76:F96)</f>
        <v>28</v>
      </c>
      <c r="G97" s="66">
        <f>SUM(C97:F97)</f>
        <v>50</v>
      </c>
      <c r="H97" s="251"/>
      <c r="I97" s="66">
        <f>SUM(J97:M97)</f>
        <v>25</v>
      </c>
      <c r="J97" s="52">
        <f>SUM(J76:J96)</f>
        <v>25</v>
      </c>
      <c r="K97" s="52">
        <f>SUM(K76:K96)</f>
        <v>27</v>
      </c>
      <c r="L97" s="564">
        <f>SUM(L76:L96)</f>
        <v>-38</v>
      </c>
      <c r="M97" s="65">
        <f>SUM(M76:M96)</f>
        <v>11</v>
      </c>
      <c r="N97" s="248"/>
      <c r="O97" s="64" t="s">
        <v>3</v>
      </c>
      <c r="P97" s="52">
        <f>SUM(P76:P96)</f>
        <v>11</v>
      </c>
      <c r="Q97" s="65">
        <f>SUM(Q76:Q96)</f>
        <v>2</v>
      </c>
      <c r="R97" s="659">
        <f>SUM(R76:R96)</f>
        <v>-16</v>
      </c>
      <c r="S97" s="52">
        <f>SUM(S76:S96)</f>
        <v>3</v>
      </c>
      <c r="T97" s="66">
        <f>SUM(P97:S97)</f>
        <v>0</v>
      </c>
      <c r="U97" s="251"/>
      <c r="V97" s="66">
        <f>SUM(W97:Z97)</f>
        <v>26</v>
      </c>
      <c r="W97" s="52">
        <f>SUM(W76:W96)</f>
        <v>9</v>
      </c>
      <c r="X97" s="52">
        <f>SUM(X76:X96)</f>
        <v>4</v>
      </c>
      <c r="Y97" s="52">
        <f>SUM(Y76:Y96)</f>
        <v>8</v>
      </c>
      <c r="Z97" s="52">
        <f>SUM(Z76:Z96)</f>
        <v>5</v>
      </c>
      <c r="AA97" s="248"/>
      <c r="AB97" s="64" t="s">
        <v>3</v>
      </c>
      <c r="AC97" s="52">
        <f>SUM(AC76:AC96)</f>
        <v>10</v>
      </c>
      <c r="AD97" s="52">
        <f>SUM(AD76:AD96)</f>
        <v>10</v>
      </c>
      <c r="AE97" s="52">
        <f>SUM(AE76:AE96)</f>
        <v>2</v>
      </c>
      <c r="AF97" s="52">
        <f>SUM(AF76:AF96)</f>
        <v>14</v>
      </c>
      <c r="AG97" s="66">
        <f>SUM(AC97:AF97)</f>
        <v>36</v>
      </c>
      <c r="AH97" s="251"/>
      <c r="AI97" s="66">
        <f>SUM(AJ97:AM97)</f>
        <v>50</v>
      </c>
      <c r="AJ97" s="52">
        <f>SUM(AJ76:AJ96)</f>
        <v>24</v>
      </c>
      <c r="AK97" s="52">
        <f>SUM(AK76:AK96)</f>
        <v>7</v>
      </c>
      <c r="AL97" s="52">
        <f>SUM(AL76:AL96)</f>
        <v>4</v>
      </c>
      <c r="AM97" s="65">
        <f>SUM(AM76:AM96)</f>
        <v>15</v>
      </c>
      <c r="AN97" s="248"/>
      <c r="AO97" s="61"/>
      <c r="AP97" s="34"/>
      <c r="AQ97" s="34"/>
      <c r="AR97" s="34"/>
      <c r="AS97" s="34"/>
      <c r="AT97" s="62"/>
      <c r="AU97" s="248"/>
      <c r="AV97" s="62"/>
      <c r="AW97" s="34"/>
      <c r="AX97" s="34"/>
      <c r="AY97" s="34"/>
      <c r="AZ97" s="34"/>
      <c r="BA97" s="249"/>
      <c r="BB97" s="539" t="s">
        <v>3</v>
      </c>
      <c r="BC97" s="531">
        <f>SUM(BC76:BC96)</f>
        <v>14</v>
      </c>
      <c r="BD97" s="531">
        <f>SUM(BD76:BD96)</f>
        <v>15</v>
      </c>
      <c r="BE97" s="531">
        <f>SUM(BE76:BE96)</f>
        <v>9</v>
      </c>
      <c r="BF97" s="531">
        <f>SUM(BF76:BF96)</f>
        <v>12</v>
      </c>
      <c r="BG97" s="541">
        <f>SUM(BC97:BF97)</f>
        <v>50</v>
      </c>
      <c r="BH97" s="607"/>
      <c r="BI97" s="541">
        <f>SUM(BJ97:BM97)</f>
        <v>43</v>
      </c>
      <c r="BJ97" s="531">
        <f>SUM(BJ76:BJ96)</f>
        <v>18</v>
      </c>
      <c r="BK97" s="531">
        <f>SUM(BK76:BK96)</f>
        <v>6</v>
      </c>
      <c r="BL97" s="531">
        <f>SUM(BL76:BL96)</f>
        <v>15</v>
      </c>
      <c r="BM97" s="540">
        <f>SUM(BM76:BM96)</f>
        <v>4</v>
      </c>
      <c r="BN97" s="605"/>
      <c r="BO97" s="539" t="s">
        <v>3</v>
      </c>
      <c r="BP97" s="531">
        <f>SUM(BP76:BP96)</f>
        <v>13</v>
      </c>
      <c r="BQ97" s="531">
        <f>SUM(BQ76:BQ96)</f>
        <v>16</v>
      </c>
      <c r="BR97" s="531">
        <f>SUM(BR76:BR96)</f>
        <v>13</v>
      </c>
      <c r="BS97" s="531">
        <f>SUM(BS76:BS96)</f>
        <v>8</v>
      </c>
      <c r="BT97" s="541">
        <f>SUM(BP97:BS97)</f>
        <v>50</v>
      </c>
      <c r="BU97" s="607"/>
      <c r="BV97" s="541">
        <f>SUM(BW97:BZ97)</f>
        <v>28</v>
      </c>
      <c r="BW97" s="531">
        <f>SUM(BW76:BW96)</f>
        <v>11</v>
      </c>
      <c r="BX97" s="531">
        <f>SUM(BX76:BX96)</f>
        <v>8</v>
      </c>
      <c r="BY97" s="531">
        <f>SUM(BY76:BY96)</f>
        <v>2</v>
      </c>
      <c r="BZ97" s="540">
        <f>SUM(BZ76:BZ96)</f>
        <v>7</v>
      </c>
      <c r="CA97" s="605"/>
    </row>
    <row r="98" spans="1:79" ht="15">
      <c r="A98" s="1537"/>
      <c r="B98" s="67" t="s">
        <v>4</v>
      </c>
      <c r="C98" s="53">
        <f>COUNTA(C76:C96)</f>
        <v>5</v>
      </c>
      <c r="D98" s="53">
        <f>COUNTA(D76:D96)</f>
        <v>5</v>
      </c>
      <c r="E98" s="53">
        <f>COUNTA(E76:E96)</f>
        <v>5</v>
      </c>
      <c r="F98" s="53">
        <f>COUNTA(F76:F96)</f>
        <v>5</v>
      </c>
      <c r="G98" s="66">
        <f>SUM(C98:F98)</f>
        <v>20</v>
      </c>
      <c r="H98" s="251"/>
      <c r="I98" s="66">
        <f>SUM(J98:M98)</f>
        <v>19</v>
      </c>
      <c r="J98" s="53">
        <f>COUNTA(J76:J96)</f>
        <v>5</v>
      </c>
      <c r="K98" s="53">
        <f>COUNTA(K76:K96)</f>
        <v>5</v>
      </c>
      <c r="L98" s="53">
        <f>COUNTA(L76:L96)</f>
        <v>5</v>
      </c>
      <c r="M98" s="53">
        <f>COUNTA(M76:M96)</f>
        <v>4</v>
      </c>
      <c r="N98" s="248"/>
      <c r="O98" s="67" t="s">
        <v>4</v>
      </c>
      <c r="P98" s="53">
        <f>COUNTA(P76:P96)</f>
        <v>2</v>
      </c>
      <c r="Q98" s="53">
        <f>COUNTA(Q76:Q96)</f>
        <v>2</v>
      </c>
      <c r="R98" s="53">
        <f>COUNTA(R76:R96)</f>
        <v>2</v>
      </c>
      <c r="S98" s="53">
        <f>COUNTA(S76:S96)</f>
        <v>1</v>
      </c>
      <c r="T98" s="66">
        <f>SUM(P98:S98)</f>
        <v>7</v>
      </c>
      <c r="U98" s="251"/>
      <c r="V98" s="66">
        <f>SUM(W98:Z98)</f>
        <v>6</v>
      </c>
      <c r="W98" s="53">
        <f>COUNTA(W76:W96)</f>
        <v>2</v>
      </c>
      <c r="X98" s="53">
        <f>COUNTA(X76:X96)</f>
        <v>2</v>
      </c>
      <c r="Y98" s="53">
        <f>COUNTA(Y76:Y96)</f>
        <v>1</v>
      </c>
      <c r="Z98" s="53">
        <f>COUNTA(Z76:Z96)</f>
        <v>1</v>
      </c>
      <c r="AA98" s="248"/>
      <c r="AB98" s="67" t="s">
        <v>4</v>
      </c>
      <c r="AC98" s="53">
        <f>COUNTA(AC76:AC96)</f>
        <v>3</v>
      </c>
      <c r="AD98" s="53">
        <f>COUNTA(AD76:AD96)</f>
        <v>2</v>
      </c>
      <c r="AE98" s="53">
        <f>COUNTA(AE76:AE96)</f>
        <v>2</v>
      </c>
      <c r="AF98" s="53">
        <f>COUNTA(AF76:AF96)</f>
        <v>2</v>
      </c>
      <c r="AG98" s="66">
        <f>SUM(AC98:AF98)</f>
        <v>9</v>
      </c>
      <c r="AH98" s="251"/>
      <c r="AI98" s="66">
        <f>SUM(AJ98:AM98)</f>
        <v>9</v>
      </c>
      <c r="AJ98" s="53">
        <f>COUNTA(AJ76:AJ96)</f>
        <v>3</v>
      </c>
      <c r="AK98" s="53">
        <f>COUNTA(AK76:AK96)</f>
        <v>2</v>
      </c>
      <c r="AL98" s="53">
        <f>COUNTA(AL76:AL96)</f>
        <v>2</v>
      </c>
      <c r="AM98" s="53">
        <f>COUNTA(AM76:AM96)</f>
        <v>2</v>
      </c>
      <c r="AN98" s="248"/>
      <c r="AO98" s="61"/>
      <c r="AP98" s="63"/>
      <c r="AQ98" s="63"/>
      <c r="AR98" s="63"/>
      <c r="AS98" s="63"/>
      <c r="AT98" s="62"/>
      <c r="AU98" s="248"/>
      <c r="AV98" s="62"/>
      <c r="AW98" s="38"/>
      <c r="AX98" s="38"/>
      <c r="AY98" s="38"/>
      <c r="AZ98" s="38"/>
      <c r="BA98" s="249"/>
      <c r="BB98" s="542" t="s">
        <v>4</v>
      </c>
      <c r="BC98" s="532">
        <f>COUNTA(BC76:BC96)</f>
        <v>3</v>
      </c>
      <c r="BD98" s="532">
        <f>COUNTA(BD76:BD96)</f>
        <v>3</v>
      </c>
      <c r="BE98" s="532">
        <f>COUNTA(BE76:BE96)</f>
        <v>3</v>
      </c>
      <c r="BF98" s="532">
        <f>COUNTA(BF76:BF96)</f>
        <v>3</v>
      </c>
      <c r="BG98" s="541">
        <f>SUM(BC98:BF98)</f>
        <v>12</v>
      </c>
      <c r="BH98" s="607"/>
      <c r="BI98" s="541">
        <f>SUM(BJ98:BM98)</f>
        <v>11</v>
      </c>
      <c r="BJ98" s="532">
        <f>COUNTA(BJ76:BJ96)</f>
        <v>3</v>
      </c>
      <c r="BK98" s="532">
        <f>COUNTA(BK76:BK96)</f>
        <v>3</v>
      </c>
      <c r="BL98" s="532">
        <f>COUNTA(BL76:BL96)</f>
        <v>3</v>
      </c>
      <c r="BM98" s="532">
        <f>COUNTA(BM76:BM96)</f>
        <v>2</v>
      </c>
      <c r="BN98" s="605"/>
      <c r="BO98" s="542" t="s">
        <v>4</v>
      </c>
      <c r="BP98" s="532">
        <f>COUNTA(BP76:BP96)</f>
        <v>2</v>
      </c>
      <c r="BQ98" s="532">
        <f>COUNTA(BQ76:BQ96)</f>
        <v>2</v>
      </c>
      <c r="BR98" s="532">
        <f>COUNTA(BR76:BR96)</f>
        <v>2</v>
      </c>
      <c r="BS98" s="532">
        <f>COUNTA(BS76:BS96)</f>
        <v>1</v>
      </c>
      <c r="BT98" s="541">
        <f>SUM(BP98:BS98)</f>
        <v>7</v>
      </c>
      <c r="BU98" s="607"/>
      <c r="BV98" s="541">
        <f>SUM(BW98:BZ98)</f>
        <v>6</v>
      </c>
      <c r="BW98" s="532">
        <f>COUNTA(BW76:BW96)</f>
        <v>2</v>
      </c>
      <c r="BX98" s="532">
        <f>COUNTA(BX76:BX96)</f>
        <v>2</v>
      </c>
      <c r="BY98" s="532">
        <f>COUNTA(BY76:BY96)</f>
        <v>1</v>
      </c>
      <c r="BZ98" s="532">
        <f>COUNTA(BZ76:BZ96)</f>
        <v>1</v>
      </c>
      <c r="CA98" s="605"/>
    </row>
    <row r="99" spans="1:79" ht="15">
      <c r="A99" s="1537"/>
      <c r="B99" s="64" t="s">
        <v>6</v>
      </c>
      <c r="C99" s="52">
        <f>C98-COUNT(C76:C96)</f>
        <v>1</v>
      </c>
      <c r="D99" s="52">
        <f>D98-COUNT(D76:D96)</f>
        <v>0</v>
      </c>
      <c r="E99" s="52">
        <f>E98-COUNT(E76:E96)</f>
        <v>0</v>
      </c>
      <c r="F99" s="52">
        <f>F98-COUNT(F76:F96)</f>
        <v>0</v>
      </c>
      <c r="G99" s="66">
        <f>SUM(C99:F99)</f>
        <v>1</v>
      </c>
      <c r="H99" s="251"/>
      <c r="I99" s="66">
        <f>SUM(J99:M99)</f>
        <v>5</v>
      </c>
      <c r="J99" s="52">
        <f>J98-COUNT(J76:J96)</f>
        <v>1</v>
      </c>
      <c r="K99" s="65">
        <f>K98-COUNT(K76:K96)</f>
        <v>0</v>
      </c>
      <c r="L99" s="65">
        <f>L98-COUNT(L76:L96)</f>
        <v>2</v>
      </c>
      <c r="M99" s="52">
        <f>M98-COUNT(M76:M96)</f>
        <v>2</v>
      </c>
      <c r="N99" s="248"/>
      <c r="O99" s="64" t="s">
        <v>6</v>
      </c>
      <c r="P99" s="65">
        <f>P98-COUNT(P76:P96)</f>
        <v>1</v>
      </c>
      <c r="Q99" s="65">
        <f>Q98-COUNT(Q76:Q96)</f>
        <v>1</v>
      </c>
      <c r="R99" s="659">
        <v>1</v>
      </c>
      <c r="S99" s="65">
        <f>S98-COUNT(S76:S96)</f>
        <v>0</v>
      </c>
      <c r="T99" s="66">
        <f>SUM(P99:S99)</f>
        <v>3</v>
      </c>
      <c r="U99" s="251"/>
      <c r="V99" s="66">
        <f>SUM(W99:Z99)</f>
        <v>0</v>
      </c>
      <c r="W99" s="52">
        <f>W98-COUNT(W76:W96)</f>
        <v>0</v>
      </c>
      <c r="X99" s="52">
        <f>X98-COUNT(X76:X96)</f>
        <v>0</v>
      </c>
      <c r="Y99" s="52">
        <f>Y98-COUNT(Y76:Y96)</f>
        <v>0</v>
      </c>
      <c r="Z99" s="52">
        <f>Z98-COUNT(Z76:Z96)</f>
        <v>0</v>
      </c>
      <c r="AA99" s="248"/>
      <c r="AB99" s="64" t="s">
        <v>6</v>
      </c>
      <c r="AC99" s="52">
        <f>AC98-COUNT(AC76:AC96)</f>
        <v>2</v>
      </c>
      <c r="AD99" s="52">
        <f>AD98-COUNT(AD76:AD96)</f>
        <v>0</v>
      </c>
      <c r="AE99" s="52">
        <f>AE98-COUNT(AE76:AE96)</f>
        <v>1</v>
      </c>
      <c r="AF99" s="52">
        <f>AF98-COUNT(AF76:AF96)</f>
        <v>0</v>
      </c>
      <c r="AG99" s="66">
        <f>SUM(AC99:AF99)</f>
        <v>3</v>
      </c>
      <c r="AH99" s="251"/>
      <c r="AI99" s="66">
        <f>SUM(AJ99:AM99)</f>
        <v>1</v>
      </c>
      <c r="AJ99" s="52">
        <f>AJ98-COUNT(AJ76:AJ96)</f>
        <v>0</v>
      </c>
      <c r="AK99" s="65">
        <f>AK98-COUNT(AK76:AK96)</f>
        <v>1</v>
      </c>
      <c r="AL99" s="65">
        <f>AL98-COUNT(AL76:AL96)</f>
        <v>0</v>
      </c>
      <c r="AM99" s="52">
        <f>AM98-COUNT(AM76:AM96)</f>
        <v>0</v>
      </c>
      <c r="AN99" s="248"/>
      <c r="AO99" s="61"/>
      <c r="AP99" s="69"/>
      <c r="AQ99" s="71"/>
      <c r="AR99" s="71"/>
      <c r="AS99" s="71"/>
      <c r="AT99" s="70"/>
      <c r="AU99" s="248"/>
      <c r="AV99" s="70"/>
      <c r="AW99" s="69"/>
      <c r="AX99" s="69"/>
      <c r="AY99" s="69"/>
      <c r="AZ99" s="69"/>
      <c r="BA99" s="249"/>
      <c r="BB99" s="539" t="s">
        <v>6</v>
      </c>
      <c r="BC99" s="531">
        <f>BC98-COUNT(BC76:BC96)</f>
        <v>1</v>
      </c>
      <c r="BD99" s="531">
        <f>BD98-COUNT(BD76:BD96)</f>
        <v>1</v>
      </c>
      <c r="BE99" s="531">
        <f>BE98-COUNT(BE76:BE96)</f>
        <v>1</v>
      </c>
      <c r="BF99" s="531">
        <f>BF98-COUNT(BF76:BF96)</f>
        <v>1</v>
      </c>
      <c r="BG99" s="541">
        <f>SUM(BC99:BF99)</f>
        <v>4</v>
      </c>
      <c r="BH99" s="607"/>
      <c r="BI99" s="541">
        <f>SUM(BJ99:BM99)</f>
        <v>3</v>
      </c>
      <c r="BJ99" s="531">
        <f>BJ98-COUNT(BJ76:BJ96)</f>
        <v>0</v>
      </c>
      <c r="BK99" s="540">
        <f>BK98-COUNT(BK76:BK96)</f>
        <v>2</v>
      </c>
      <c r="BL99" s="540">
        <f>BL98-COUNT(BL76:BL96)</f>
        <v>1</v>
      </c>
      <c r="BM99" s="531">
        <f>BM98-COUNT(BM76:BM96)</f>
        <v>0</v>
      </c>
      <c r="BN99" s="605"/>
      <c r="BO99" s="539" t="s">
        <v>6</v>
      </c>
      <c r="BP99" s="531">
        <f>BP98-COUNT(BP76:BP96)</f>
        <v>0</v>
      </c>
      <c r="BQ99" s="531">
        <f>BQ98-COUNT(BQ76:BQ96)</f>
        <v>0</v>
      </c>
      <c r="BR99" s="531">
        <f>BR98-COUNT(BR76:BR96)</f>
        <v>0</v>
      </c>
      <c r="BS99" s="531">
        <f>BS98-COUNT(BS76:BS96)</f>
        <v>0</v>
      </c>
      <c r="BT99" s="541">
        <f>SUM(BP99:BS99)</f>
        <v>0</v>
      </c>
      <c r="BU99" s="607"/>
      <c r="BV99" s="541">
        <f>SUM(BW99:BZ99)</f>
        <v>0</v>
      </c>
      <c r="BW99" s="531">
        <f>BW98-COUNT(BW76:BW96)</f>
        <v>0</v>
      </c>
      <c r="BX99" s="540">
        <f>BX98-COUNT(BX76:BX96)</f>
        <v>0</v>
      </c>
      <c r="BY99" s="540">
        <f>BY98-COUNT(BY76:BY96)</f>
        <v>0</v>
      </c>
      <c r="BZ99" s="531">
        <f>BZ98-COUNT(BZ76:BZ96)</f>
        <v>0</v>
      </c>
      <c r="CA99" s="605"/>
    </row>
    <row r="100" spans="1:79" ht="15">
      <c r="A100" s="1537"/>
      <c r="B100" s="64" t="s">
        <v>12</v>
      </c>
      <c r="C100" s="75">
        <f>C99/C98</f>
        <v>0.2</v>
      </c>
      <c r="D100" s="72">
        <f>D99/D98</f>
        <v>0</v>
      </c>
      <c r="E100" s="72">
        <f>E99/E98</f>
        <v>0</v>
      </c>
      <c r="F100" s="72">
        <f>F99/F98</f>
        <v>0</v>
      </c>
      <c r="G100" s="74">
        <f>G99/G98</f>
        <v>0.05</v>
      </c>
      <c r="H100" s="251"/>
      <c r="I100" s="74">
        <f>I99/I98</f>
        <v>0.26315789473684209</v>
      </c>
      <c r="J100" s="72">
        <f>J99/J98</f>
        <v>0.2</v>
      </c>
      <c r="K100" s="73">
        <f>K99/K98</f>
        <v>0</v>
      </c>
      <c r="L100" s="73">
        <f>L99/L98</f>
        <v>0.4</v>
      </c>
      <c r="M100" s="72">
        <f>M99/M98</f>
        <v>0.5</v>
      </c>
      <c r="N100" s="248"/>
      <c r="O100" s="64" t="s">
        <v>12</v>
      </c>
      <c r="P100" s="72">
        <f>P99/P98</f>
        <v>0.5</v>
      </c>
      <c r="Q100" s="73">
        <f>Q99/Q98</f>
        <v>0.5</v>
      </c>
      <c r="R100" s="73">
        <f>R99/R98</f>
        <v>0.5</v>
      </c>
      <c r="S100" s="73">
        <f>S99/S98</f>
        <v>0</v>
      </c>
      <c r="T100" s="74">
        <f>T99/T98</f>
        <v>0.42857142857142855</v>
      </c>
      <c r="U100" s="251"/>
      <c r="V100" s="74">
        <f>V99/V98</f>
        <v>0</v>
      </c>
      <c r="W100" s="72">
        <f>W99/W98</f>
        <v>0</v>
      </c>
      <c r="X100" s="72">
        <f>X99/X98</f>
        <v>0</v>
      </c>
      <c r="Y100" s="72">
        <f>Y99/Y98</f>
        <v>0</v>
      </c>
      <c r="Z100" s="72">
        <f>Z99/Z98</f>
        <v>0</v>
      </c>
      <c r="AA100" s="248"/>
      <c r="AB100" s="64" t="s">
        <v>12</v>
      </c>
      <c r="AC100" s="75">
        <f>AC99/AC98</f>
        <v>0.66666666666666663</v>
      </c>
      <c r="AD100" s="72">
        <f>AD99/AD98</f>
        <v>0</v>
      </c>
      <c r="AE100" s="72">
        <f>AE99/AE98</f>
        <v>0.5</v>
      </c>
      <c r="AF100" s="72">
        <f>AF99/AF98</f>
        <v>0</v>
      </c>
      <c r="AG100" s="74">
        <f>AG99/AG98</f>
        <v>0.33333333333333331</v>
      </c>
      <c r="AH100" s="251"/>
      <c r="AI100" s="74">
        <f>AI99/AI98</f>
        <v>0.1111111111111111</v>
      </c>
      <c r="AJ100" s="72">
        <f>AJ99/AJ98</f>
        <v>0</v>
      </c>
      <c r="AK100" s="73">
        <f>AK99/AK98</f>
        <v>0.5</v>
      </c>
      <c r="AL100" s="73">
        <f>AL99/AL98</f>
        <v>0</v>
      </c>
      <c r="AM100" s="72">
        <f>AM99/AM98</f>
        <v>0</v>
      </c>
      <c r="AN100" s="248"/>
      <c r="AO100" s="61"/>
      <c r="AP100" s="76"/>
      <c r="AQ100" s="78"/>
      <c r="AR100" s="78"/>
      <c r="AS100" s="76"/>
      <c r="AT100" s="77"/>
      <c r="AU100" s="248"/>
      <c r="AV100" s="77"/>
      <c r="AW100" s="76"/>
      <c r="AX100" s="76"/>
      <c r="AY100" s="76"/>
      <c r="AZ100" s="76"/>
      <c r="BA100" s="249"/>
      <c r="BB100" s="539" t="s">
        <v>12</v>
      </c>
      <c r="BC100" s="549">
        <f>BC99/BC98</f>
        <v>0.33333333333333331</v>
      </c>
      <c r="BD100" s="546">
        <f>BD99/BD98</f>
        <v>0.33333333333333331</v>
      </c>
      <c r="BE100" s="546">
        <f>BE99/BE98</f>
        <v>0.33333333333333331</v>
      </c>
      <c r="BF100" s="546">
        <f>BF99/BF98</f>
        <v>0.33333333333333331</v>
      </c>
      <c r="BG100" s="548">
        <f>BG99/BG98</f>
        <v>0.33333333333333331</v>
      </c>
      <c r="BH100" s="607"/>
      <c r="BI100" s="548">
        <f>BI99/BI98</f>
        <v>0.27272727272727271</v>
      </c>
      <c r="BJ100" s="546">
        <f>BJ99/BJ98</f>
        <v>0</v>
      </c>
      <c r="BK100" s="547">
        <f>BK99/BK98</f>
        <v>0.66666666666666663</v>
      </c>
      <c r="BL100" s="547">
        <f>BL99/BL98</f>
        <v>0.33333333333333331</v>
      </c>
      <c r="BM100" s="546">
        <f>BM99/BM98</f>
        <v>0</v>
      </c>
      <c r="BN100" s="605"/>
      <c r="BO100" s="539" t="s">
        <v>12</v>
      </c>
      <c r="BP100" s="549">
        <f>BP99/BP98</f>
        <v>0</v>
      </c>
      <c r="BQ100" s="546">
        <f>BQ99/BQ98</f>
        <v>0</v>
      </c>
      <c r="BR100" s="546">
        <f>BR99/BR98</f>
        <v>0</v>
      </c>
      <c r="BS100" s="546">
        <f>BS99/BS98</f>
        <v>0</v>
      </c>
      <c r="BT100" s="548">
        <f>BT99/BT98</f>
        <v>0</v>
      </c>
      <c r="BU100" s="607"/>
      <c r="BV100" s="548">
        <f>BV99/BV98</f>
        <v>0</v>
      </c>
      <c r="BW100" s="546">
        <f>BW99/BW98</f>
        <v>0</v>
      </c>
      <c r="BX100" s="547">
        <f>BX99/BX98</f>
        <v>0</v>
      </c>
      <c r="BY100" s="547">
        <f>BY99/BY98</f>
        <v>0</v>
      </c>
      <c r="BZ100" s="546">
        <f>BZ99/BZ98</f>
        <v>0</v>
      </c>
      <c r="CA100" s="605"/>
    </row>
    <row r="101" spans="1:79" ht="15">
      <c r="A101" s="1537"/>
      <c r="B101" s="64" t="s">
        <v>5</v>
      </c>
      <c r="C101" s="79">
        <f>C97/C98</f>
        <v>-0.2</v>
      </c>
      <c r="D101" s="79">
        <f>D97/D98</f>
        <v>4.8</v>
      </c>
      <c r="E101" s="79">
        <f>E97/E98</f>
        <v>-0.2</v>
      </c>
      <c r="F101" s="79">
        <f>F97/F98</f>
        <v>5.6</v>
      </c>
      <c r="G101" s="81">
        <f>G97/G98</f>
        <v>2.5</v>
      </c>
      <c r="H101" s="251"/>
      <c r="I101" s="81">
        <f>I97/I98</f>
        <v>1.3157894736842106</v>
      </c>
      <c r="J101" s="79">
        <f>J97/J98</f>
        <v>5</v>
      </c>
      <c r="K101" s="79">
        <f>K97/K98</f>
        <v>5.4</v>
      </c>
      <c r="L101" s="79">
        <f>L97/L98</f>
        <v>-7.6</v>
      </c>
      <c r="M101" s="80">
        <f>M97/M98</f>
        <v>2.75</v>
      </c>
      <c r="N101" s="248"/>
      <c r="O101" s="64" t="s">
        <v>5</v>
      </c>
      <c r="P101" s="79">
        <f>P97/P98</f>
        <v>5.5</v>
      </c>
      <c r="Q101" s="80">
        <f>Q97/Q98</f>
        <v>1</v>
      </c>
      <c r="R101" s="79">
        <f>R97/R98</f>
        <v>-8</v>
      </c>
      <c r="S101" s="79">
        <f>S97/S98</f>
        <v>3</v>
      </c>
      <c r="T101" s="81">
        <f>T97/T98</f>
        <v>0</v>
      </c>
      <c r="U101" s="251"/>
      <c r="V101" s="81">
        <f>V97/V98</f>
        <v>4.333333333333333</v>
      </c>
      <c r="W101" s="79">
        <f>W97/W98</f>
        <v>4.5</v>
      </c>
      <c r="X101" s="79">
        <f>X97/X98</f>
        <v>2</v>
      </c>
      <c r="Y101" s="79">
        <f>Y97/Y98</f>
        <v>8</v>
      </c>
      <c r="Z101" s="79">
        <f>Z97/Z98</f>
        <v>5</v>
      </c>
      <c r="AA101" s="248"/>
      <c r="AB101" s="64" t="s">
        <v>5</v>
      </c>
      <c r="AC101" s="79">
        <f>AC97/AC98</f>
        <v>3.3333333333333335</v>
      </c>
      <c r="AD101" s="79">
        <f>AD97/AD98</f>
        <v>5</v>
      </c>
      <c r="AE101" s="79">
        <f>AE97/AE98</f>
        <v>1</v>
      </c>
      <c r="AF101" s="79">
        <f>AF97/AF98</f>
        <v>7</v>
      </c>
      <c r="AG101" s="81">
        <f>AG97/AG98</f>
        <v>4</v>
      </c>
      <c r="AH101" s="251"/>
      <c r="AI101" s="81">
        <f>AI97/AI98</f>
        <v>5.5555555555555554</v>
      </c>
      <c r="AJ101" s="79">
        <f>AJ97/AJ98</f>
        <v>8</v>
      </c>
      <c r="AK101" s="79">
        <f>AK97/AK98</f>
        <v>3.5</v>
      </c>
      <c r="AL101" s="79">
        <f>AL97/AL98</f>
        <v>2</v>
      </c>
      <c r="AM101" s="80">
        <f>AM97/AM98</f>
        <v>7.5</v>
      </c>
      <c r="AN101" s="248"/>
      <c r="AO101" s="61"/>
      <c r="AP101" s="76"/>
      <c r="AQ101" s="78"/>
      <c r="AR101" s="78"/>
      <c r="AS101" s="82"/>
      <c r="AT101" s="83"/>
      <c r="AU101" s="248"/>
      <c r="AV101" s="83"/>
      <c r="AW101" s="82"/>
      <c r="AX101" s="82"/>
      <c r="AY101" s="82"/>
      <c r="AZ101" s="82"/>
      <c r="BA101" s="249"/>
      <c r="BB101" s="539" t="s">
        <v>5</v>
      </c>
      <c r="BC101" s="553">
        <f>BC97/BC98</f>
        <v>4.666666666666667</v>
      </c>
      <c r="BD101" s="553">
        <f>BD97/BD98</f>
        <v>5</v>
      </c>
      <c r="BE101" s="553">
        <f>BE97/BE98</f>
        <v>3</v>
      </c>
      <c r="BF101" s="553">
        <f>BF97/BF98</f>
        <v>4</v>
      </c>
      <c r="BG101" s="555">
        <f>BG97/BG98</f>
        <v>4.166666666666667</v>
      </c>
      <c r="BH101" s="607"/>
      <c r="BI101" s="555">
        <f>BI97/BI98</f>
        <v>3.9090909090909092</v>
      </c>
      <c r="BJ101" s="553">
        <f>BJ97/BJ98</f>
        <v>6</v>
      </c>
      <c r="BK101" s="553">
        <f>BK97/BK98</f>
        <v>2</v>
      </c>
      <c r="BL101" s="553">
        <f>BL97/BL98</f>
        <v>5</v>
      </c>
      <c r="BM101" s="554">
        <f>BM97/BM98</f>
        <v>2</v>
      </c>
      <c r="BN101" s="605"/>
      <c r="BO101" s="539" t="s">
        <v>5</v>
      </c>
      <c r="BP101" s="553">
        <f>BP97/BP98</f>
        <v>6.5</v>
      </c>
      <c r="BQ101" s="553">
        <f>BQ97/BQ98</f>
        <v>8</v>
      </c>
      <c r="BR101" s="553">
        <f>BR97/BR98</f>
        <v>6.5</v>
      </c>
      <c r="BS101" s="553">
        <f>BS97/BS98</f>
        <v>8</v>
      </c>
      <c r="BT101" s="555">
        <f>BT97/BT98</f>
        <v>7.1428571428571432</v>
      </c>
      <c r="BU101" s="607"/>
      <c r="BV101" s="555">
        <f>BV97/BV98</f>
        <v>4.666666666666667</v>
      </c>
      <c r="BW101" s="553">
        <f>BW97/BW98</f>
        <v>5.5</v>
      </c>
      <c r="BX101" s="553">
        <f>BX97/BX98</f>
        <v>4</v>
      </c>
      <c r="BY101" s="553">
        <f>BY97/BY98</f>
        <v>2</v>
      </c>
      <c r="BZ101" s="554">
        <f>BZ97/BZ98</f>
        <v>7</v>
      </c>
      <c r="CA101" s="605"/>
    </row>
    <row r="102" spans="1:79" ht="15">
      <c r="A102" s="1537"/>
      <c r="B102" s="64" t="s">
        <v>8</v>
      </c>
      <c r="C102" s="84">
        <f>C97/(C98-C99)</f>
        <v>-0.25</v>
      </c>
      <c r="D102" s="84">
        <f>D97/(D98-D99)</f>
        <v>4.8</v>
      </c>
      <c r="E102" s="84">
        <f>E97/(E98-E99)</f>
        <v>-0.2</v>
      </c>
      <c r="F102" s="84">
        <f>F97/(F98-F99)</f>
        <v>5.6</v>
      </c>
      <c r="G102" s="85">
        <f>G97/(G98-G99)</f>
        <v>2.6315789473684212</v>
      </c>
      <c r="H102" s="251"/>
      <c r="I102" s="85">
        <f>I97/(I98-I99)</f>
        <v>1.7857142857142858</v>
      </c>
      <c r="J102" s="84">
        <f>J97/(J98-J99)</f>
        <v>6.25</v>
      </c>
      <c r="K102" s="79">
        <f>K97/(K98-K99)</f>
        <v>5.4</v>
      </c>
      <c r="L102" s="79">
        <f>L97/(L98-L99)</f>
        <v>-12.666666666666666</v>
      </c>
      <c r="M102" s="80">
        <f>M97/(M98-M99)</f>
        <v>5.5</v>
      </c>
      <c r="N102" s="248"/>
      <c r="O102" s="64" t="s">
        <v>8</v>
      </c>
      <c r="P102" s="79">
        <f>P97/(P98-P99)</f>
        <v>11</v>
      </c>
      <c r="Q102" s="80">
        <f>Q97/(Q98-Q99)</f>
        <v>2</v>
      </c>
      <c r="R102" s="84">
        <f>R97/(R98-R99)</f>
        <v>-16</v>
      </c>
      <c r="S102" s="84">
        <f>S97/(S98-S99)</f>
        <v>3</v>
      </c>
      <c r="T102" s="85">
        <f>T97/(T98-T99)</f>
        <v>0</v>
      </c>
      <c r="U102" s="251"/>
      <c r="V102" s="85">
        <f>V97/(V98-V99)</f>
        <v>4.333333333333333</v>
      </c>
      <c r="W102" s="84">
        <f>W97/(W98-W99)</f>
        <v>4.5</v>
      </c>
      <c r="X102" s="84">
        <f>X97/(X98-X99)</f>
        <v>2</v>
      </c>
      <c r="Y102" s="84">
        <f>Y97/(Y98-Y99)</f>
        <v>8</v>
      </c>
      <c r="Z102" s="84">
        <f>Z97/(Z98-Z99)</f>
        <v>5</v>
      </c>
      <c r="AA102" s="248"/>
      <c r="AB102" s="64" t="s">
        <v>8</v>
      </c>
      <c r="AC102" s="84">
        <f>AC97/(AC98-AC99)</f>
        <v>10</v>
      </c>
      <c r="AD102" s="84">
        <f>AD97/(AD98-AD99)</f>
        <v>5</v>
      </c>
      <c r="AE102" s="84">
        <f>AE97/(AE98-AE99)</f>
        <v>2</v>
      </c>
      <c r="AF102" s="84">
        <f>AF97/(AF98-AF99)</f>
        <v>7</v>
      </c>
      <c r="AG102" s="85">
        <f>AG97/(AG98-AG99)</f>
        <v>6</v>
      </c>
      <c r="AH102" s="251"/>
      <c r="AI102" s="85">
        <f>AI97/(AI98-AI99)</f>
        <v>6.25</v>
      </c>
      <c r="AJ102" s="84">
        <f>AJ97/(AJ98-AJ99)</f>
        <v>8</v>
      </c>
      <c r="AK102" s="79">
        <f>AK97/(AK98-AK99)</f>
        <v>7</v>
      </c>
      <c r="AL102" s="79">
        <f>AL97/(AL98-AL99)</f>
        <v>2</v>
      </c>
      <c r="AM102" s="80">
        <f>AM97/(AM98-AM99)</f>
        <v>7.5</v>
      </c>
      <c r="AN102" s="248"/>
      <c r="AO102" s="248"/>
      <c r="AP102" s="248"/>
      <c r="AQ102" s="248"/>
      <c r="AR102" s="248"/>
      <c r="AS102" s="248"/>
      <c r="AT102" s="248"/>
      <c r="AU102" s="248"/>
      <c r="AV102" s="248"/>
      <c r="AW102" s="248"/>
      <c r="AX102" s="248"/>
      <c r="AY102" s="248"/>
      <c r="AZ102" s="248"/>
      <c r="BA102" s="249"/>
      <c r="BB102" s="539" t="s">
        <v>8</v>
      </c>
      <c r="BC102" s="558">
        <f>BC97/(BC98-BC99)</f>
        <v>7</v>
      </c>
      <c r="BD102" s="558">
        <f>BD97/(BD98-BD99)</f>
        <v>7.5</v>
      </c>
      <c r="BE102" s="558">
        <f>BE97/(BE98-BE99)</f>
        <v>4.5</v>
      </c>
      <c r="BF102" s="558">
        <f>BF97/(BF98-BF99)</f>
        <v>6</v>
      </c>
      <c r="BG102" s="559">
        <f>BG97/(BG98-BG99)</f>
        <v>6.25</v>
      </c>
      <c r="BH102" s="607"/>
      <c r="BI102" s="559">
        <f>BI97/(BI98-BI99)</f>
        <v>5.375</v>
      </c>
      <c r="BJ102" s="558">
        <f>BJ97/(BJ98-BJ99)</f>
        <v>6</v>
      </c>
      <c r="BK102" s="553">
        <f>BK97/(BK98-BK99)</f>
        <v>6</v>
      </c>
      <c r="BL102" s="553">
        <f>BL97/(BL98-BL99)</f>
        <v>7.5</v>
      </c>
      <c r="BM102" s="554">
        <f>BM97/(BM98-BM99)</f>
        <v>2</v>
      </c>
      <c r="BN102" s="605"/>
      <c r="BO102" s="539" t="s">
        <v>8</v>
      </c>
      <c r="BP102" s="558">
        <f>BP97/(BP98-BP99)</f>
        <v>6.5</v>
      </c>
      <c r="BQ102" s="558">
        <f>BQ97/(BQ98-BQ99)</f>
        <v>8</v>
      </c>
      <c r="BR102" s="558">
        <f>BR97/(BR98-BR99)</f>
        <v>6.5</v>
      </c>
      <c r="BS102" s="558">
        <f>BS97/(BS98-BS99)</f>
        <v>8</v>
      </c>
      <c r="BT102" s="559">
        <f>BT97/(BT98-BT99)</f>
        <v>7.1428571428571432</v>
      </c>
      <c r="BU102" s="607"/>
      <c r="BV102" s="559">
        <f>BV97/(BV98-BV99)</f>
        <v>4.666666666666667</v>
      </c>
      <c r="BW102" s="558">
        <f>BW97/(BW98-BW99)</f>
        <v>5.5</v>
      </c>
      <c r="BX102" s="553">
        <f>BX97/(BX98-BX99)</f>
        <v>4</v>
      </c>
      <c r="BY102" s="553">
        <f>BY97/(BY98-BY99)</f>
        <v>2</v>
      </c>
      <c r="BZ102" s="554">
        <f>BZ97/(BZ98-BZ99)</f>
        <v>7</v>
      </c>
      <c r="CA102" s="605"/>
    </row>
    <row r="103" spans="1:79" ht="15">
      <c r="A103" s="261"/>
      <c r="B103" s="50"/>
      <c r="C103" s="34"/>
      <c r="D103" s="34"/>
      <c r="E103" s="34"/>
      <c r="F103" s="34"/>
      <c r="G103" s="250"/>
      <c r="H103" s="248"/>
      <c r="I103" s="248"/>
      <c r="J103" s="248"/>
      <c r="K103" s="248"/>
      <c r="L103" s="248"/>
      <c r="M103" s="248"/>
      <c r="N103" s="248"/>
      <c r="O103" s="50"/>
      <c r="P103" s="34"/>
      <c r="Q103" s="34"/>
      <c r="R103" s="34"/>
      <c r="S103" s="34"/>
      <c r="T103" s="248"/>
      <c r="U103" s="248"/>
      <c r="V103" s="248"/>
      <c r="W103" s="248"/>
      <c r="X103" s="248"/>
      <c r="Y103" s="248"/>
      <c r="Z103" s="248"/>
      <c r="AA103" s="248"/>
      <c r="AB103" s="248"/>
      <c r="AC103" s="248"/>
      <c r="AD103" s="248"/>
      <c r="AE103" s="248"/>
      <c r="AF103" s="248"/>
      <c r="AG103" s="248"/>
      <c r="AH103" s="248"/>
      <c r="AI103" s="248"/>
      <c r="AJ103" s="248"/>
      <c r="AK103" s="248"/>
      <c r="AL103" s="248"/>
      <c r="AM103" s="248"/>
      <c r="AN103" s="248"/>
      <c r="AO103" s="248"/>
      <c r="AP103" s="248"/>
      <c r="AQ103" s="248"/>
      <c r="AR103" s="248"/>
      <c r="AS103" s="248"/>
      <c r="AT103" s="248"/>
      <c r="AU103" s="248"/>
      <c r="AV103" s="248"/>
      <c r="AW103" s="248"/>
      <c r="AX103" s="248"/>
      <c r="AY103" s="248"/>
      <c r="AZ103" s="248"/>
      <c r="BA103" s="249"/>
      <c r="BB103" s="604"/>
      <c r="BC103" s="604"/>
      <c r="BD103" s="604"/>
      <c r="BE103" s="604"/>
      <c r="BF103" s="604"/>
      <c r="BG103" s="604"/>
      <c r="BH103" s="604"/>
      <c r="BI103" s="604"/>
      <c r="BJ103" s="604"/>
      <c r="BK103" s="604"/>
      <c r="BL103" s="604"/>
      <c r="BM103" s="604"/>
      <c r="BN103" s="605"/>
      <c r="BO103" s="604"/>
      <c r="BP103" s="604"/>
      <c r="BQ103" s="604"/>
      <c r="BR103" s="604"/>
      <c r="BS103" s="604"/>
      <c r="BT103" s="604"/>
      <c r="BU103" s="604"/>
      <c r="BV103" s="604"/>
      <c r="BW103" s="604"/>
      <c r="BX103" s="604"/>
      <c r="BY103" s="604"/>
      <c r="BZ103" s="604"/>
      <c r="CA103" s="605"/>
    </row>
    <row r="104" spans="1:79">
      <c r="A104" s="1537" t="s">
        <v>145</v>
      </c>
      <c r="B104" s="607"/>
      <c r="C104" s="1535" t="s">
        <v>145</v>
      </c>
      <c r="D104" s="1535"/>
      <c r="E104" s="1535"/>
      <c r="F104" s="1535"/>
      <c r="G104" s="607"/>
      <c r="H104" s="607"/>
      <c r="I104" s="607"/>
      <c r="J104" s="1536" t="s">
        <v>131</v>
      </c>
      <c r="K104" s="1536"/>
      <c r="L104" s="1536"/>
      <c r="M104" s="1536"/>
      <c r="N104" s="604"/>
      <c r="O104" s="607"/>
      <c r="P104" s="1535" t="s">
        <v>145</v>
      </c>
      <c r="Q104" s="1535"/>
      <c r="R104" s="1535"/>
      <c r="S104" s="1535"/>
      <c r="T104" s="607"/>
      <c r="U104" s="607"/>
      <c r="V104" s="607"/>
      <c r="W104" s="1536" t="s">
        <v>92</v>
      </c>
      <c r="X104" s="1536"/>
      <c r="Y104" s="1536"/>
      <c r="Z104" s="1536"/>
      <c r="AA104" s="604"/>
      <c r="AB104" s="607"/>
      <c r="AC104" s="1536" t="s">
        <v>145</v>
      </c>
      <c r="AD104" s="1536"/>
      <c r="AE104" s="1536"/>
      <c r="AF104" s="1536"/>
      <c r="AG104" s="607"/>
      <c r="AH104" s="607"/>
      <c r="AI104" s="607"/>
      <c r="AJ104" s="1535" t="s">
        <v>138</v>
      </c>
      <c r="AK104" s="1535"/>
      <c r="AL104" s="1535"/>
      <c r="AM104" s="1535"/>
      <c r="AN104" s="604"/>
      <c r="AO104" s="607"/>
      <c r="AP104" s="1535" t="s">
        <v>145</v>
      </c>
      <c r="AQ104" s="1535"/>
      <c r="AR104" s="1535"/>
      <c r="AS104" s="1535"/>
      <c r="AT104" s="607"/>
      <c r="AU104" s="607"/>
      <c r="AV104" s="607"/>
      <c r="AW104" s="1536" t="s">
        <v>144</v>
      </c>
      <c r="AX104" s="1536"/>
      <c r="AY104" s="1536"/>
      <c r="AZ104" s="1536"/>
      <c r="BA104" s="605"/>
      <c r="BB104" s="604"/>
      <c r="BC104" s="604"/>
      <c r="BD104" s="604"/>
      <c r="BE104" s="604"/>
      <c r="BF104" s="604"/>
      <c r="BG104" s="604"/>
      <c r="BH104" s="604"/>
      <c r="BI104" s="604"/>
      <c r="BJ104" s="604"/>
      <c r="BK104" s="604"/>
      <c r="BL104" s="604"/>
      <c r="BM104" s="604"/>
      <c r="BN104" s="605"/>
      <c r="BO104" s="607"/>
      <c r="BP104" s="1536" t="s">
        <v>145</v>
      </c>
      <c r="BQ104" s="1536"/>
      <c r="BR104" s="1536"/>
      <c r="BS104" s="1536"/>
      <c r="BT104" s="607"/>
      <c r="BU104" s="607"/>
      <c r="BV104" s="607"/>
      <c r="BW104" s="1535" t="s">
        <v>146</v>
      </c>
      <c r="BX104" s="1535"/>
      <c r="BY104" s="1535"/>
      <c r="BZ104" s="1535"/>
      <c r="CA104" s="605"/>
    </row>
    <row r="105" spans="1:79" ht="15">
      <c r="A105" s="1537"/>
      <c r="B105" s="522"/>
      <c r="C105" s="568">
        <v>1</v>
      </c>
      <c r="D105" s="569">
        <v>2</v>
      </c>
      <c r="E105" s="570">
        <v>3</v>
      </c>
      <c r="F105" s="603">
        <v>4</v>
      </c>
      <c r="G105" s="523">
        <f>IF(COUNTIF(G107:G120,"&gt;37")=0,0,COUNTIF(G107:G120,"&gt;37")-1)</f>
        <v>0</v>
      </c>
      <c r="H105" s="607"/>
      <c r="I105" s="523">
        <f>IF(COUNTIF(I107:I120,"&gt;37")=0,0,COUNTIF(I107:I120,"&gt;37")-1)</f>
        <v>4</v>
      </c>
      <c r="J105" s="560">
        <v>1</v>
      </c>
      <c r="K105" s="561">
        <v>2</v>
      </c>
      <c r="L105" s="562">
        <v>3</v>
      </c>
      <c r="M105" s="566">
        <v>4</v>
      </c>
      <c r="N105" s="604"/>
      <c r="O105" s="522"/>
      <c r="P105" s="568">
        <v>1</v>
      </c>
      <c r="Q105" s="569">
        <v>2</v>
      </c>
      <c r="R105" s="570">
        <v>3</v>
      </c>
      <c r="S105" s="645">
        <v>4</v>
      </c>
      <c r="T105" s="523">
        <f>IF(COUNTIF(T107:T120,"&gt;37")=0,0,COUNTIF(T107:T120,"&gt;37")-1)</f>
        <v>3</v>
      </c>
      <c r="U105" s="607"/>
      <c r="V105" s="523">
        <f>IF(COUNTIF(V107:V120,"&gt;37")=0,0,COUNTIF(V107:V120,"&gt;37")-1)</f>
        <v>5</v>
      </c>
      <c r="W105" s="560">
        <v>1</v>
      </c>
      <c r="X105" s="561">
        <v>2</v>
      </c>
      <c r="Y105" s="562">
        <v>3</v>
      </c>
      <c r="Z105" s="566">
        <v>4</v>
      </c>
      <c r="AA105" s="604"/>
      <c r="AB105" s="522"/>
      <c r="AC105" s="560">
        <v>1</v>
      </c>
      <c r="AD105" s="561">
        <v>2</v>
      </c>
      <c r="AE105" s="562">
        <v>3</v>
      </c>
      <c r="AF105" s="646">
        <v>4</v>
      </c>
      <c r="AG105" s="523">
        <f>IF(COUNTIF(AG107:AG120,"&gt;37")=0,0,COUNTIF(AG107:AG120,"&gt;37")-1)</f>
        <v>1</v>
      </c>
      <c r="AH105" s="607"/>
      <c r="AI105" s="523">
        <f>IF(COUNTIF(AI107:AI120,"&gt;37")=0,0,COUNTIF(AI107:AI120,"&gt;37")-1)</f>
        <v>0</v>
      </c>
      <c r="AJ105" s="568">
        <v>1</v>
      </c>
      <c r="AK105" s="569">
        <v>2</v>
      </c>
      <c r="AL105" s="570">
        <v>3</v>
      </c>
      <c r="AM105" s="645">
        <v>4</v>
      </c>
      <c r="AN105" s="604"/>
      <c r="AO105" s="522"/>
      <c r="AP105" s="568">
        <v>1</v>
      </c>
      <c r="AQ105" s="569">
        <v>2</v>
      </c>
      <c r="AR105" s="570">
        <v>3</v>
      </c>
      <c r="AS105" s="603">
        <v>4</v>
      </c>
      <c r="AT105" s="523">
        <f>IF(COUNTIF(AT107:AT120,"&gt;37")=0,0,COUNTIF(AT107:AT120,"&gt;37")-1)</f>
        <v>0</v>
      </c>
      <c r="AU105" s="607"/>
      <c r="AV105" s="523">
        <f>IF(COUNTIF(AV107:AV120,"&gt;37")=0,0,COUNTIF(AV107:AV120,"&gt;37")-1)</f>
        <v>4</v>
      </c>
      <c r="AW105" s="560">
        <v>1</v>
      </c>
      <c r="AX105" s="561">
        <v>2</v>
      </c>
      <c r="AY105" s="562">
        <v>3</v>
      </c>
      <c r="AZ105" s="566">
        <v>4</v>
      </c>
      <c r="BA105" s="618"/>
      <c r="BB105" s="529"/>
      <c r="BC105" s="520"/>
      <c r="BD105" s="518"/>
      <c r="BE105" s="518"/>
      <c r="BF105" s="518"/>
      <c r="BG105" s="612"/>
      <c r="BH105" s="604"/>
      <c r="BI105" s="520"/>
      <c r="BJ105" s="521"/>
      <c r="BK105" s="521"/>
      <c r="BL105" s="521"/>
      <c r="BM105" s="521"/>
      <c r="BN105" s="618"/>
      <c r="BO105" s="522"/>
      <c r="BP105" s="560">
        <v>1</v>
      </c>
      <c r="BQ105" s="561">
        <v>2</v>
      </c>
      <c r="BR105" s="562">
        <v>3</v>
      </c>
      <c r="BS105" s="646">
        <v>4</v>
      </c>
      <c r="BT105" s="523">
        <f>IF(COUNTIF(BT107:BT120,"&gt;37")=0,0,COUNTIF(BT107:BT120,"&gt;37")-1)</f>
        <v>4</v>
      </c>
      <c r="BU105" s="607"/>
      <c r="BV105" s="486">
        <v>2</v>
      </c>
      <c r="BW105" s="568">
        <v>1</v>
      </c>
      <c r="BX105" s="569">
        <v>2</v>
      </c>
      <c r="BY105" s="570">
        <v>3</v>
      </c>
      <c r="BZ105" s="645">
        <v>4</v>
      </c>
      <c r="CA105" s="618"/>
    </row>
    <row r="106" spans="1:79" ht="48">
      <c r="A106" s="1537"/>
      <c r="B106" s="526"/>
      <c r="C106" s="571" t="s">
        <v>164</v>
      </c>
      <c r="D106" s="571" t="s">
        <v>172</v>
      </c>
      <c r="E106" s="571" t="s">
        <v>101</v>
      </c>
      <c r="F106" s="571" t="s">
        <v>169</v>
      </c>
      <c r="G106" s="528"/>
      <c r="H106" s="610"/>
      <c r="I106" s="611"/>
      <c r="J106" s="527" t="s">
        <v>132</v>
      </c>
      <c r="K106" s="527" t="s">
        <v>133</v>
      </c>
      <c r="L106" s="527" t="s">
        <v>134</v>
      </c>
      <c r="M106" s="527" t="s">
        <v>9</v>
      </c>
      <c r="N106" s="608"/>
      <c r="O106" s="526"/>
      <c r="P106" s="571" t="s">
        <v>164</v>
      </c>
      <c r="Q106" s="571" t="s">
        <v>172</v>
      </c>
      <c r="R106" s="571" t="s">
        <v>101</v>
      </c>
      <c r="S106" s="571" t="s">
        <v>169</v>
      </c>
      <c r="T106" s="528"/>
      <c r="U106" s="610"/>
      <c r="V106" s="611"/>
      <c r="W106" s="527" t="s">
        <v>96</v>
      </c>
      <c r="X106" s="527" t="s">
        <v>95</v>
      </c>
      <c r="Y106" s="527" t="s">
        <v>94</v>
      </c>
      <c r="Z106" s="527" t="s">
        <v>93</v>
      </c>
      <c r="AA106" s="608"/>
      <c r="AB106" s="526"/>
      <c r="AC106" s="527" t="s">
        <v>169</v>
      </c>
      <c r="AD106" s="527" t="s">
        <v>164</v>
      </c>
      <c r="AE106" s="527" t="s">
        <v>172</v>
      </c>
      <c r="AF106" s="527" t="s">
        <v>101</v>
      </c>
      <c r="AG106" s="528"/>
      <c r="AH106" s="610"/>
      <c r="AI106" s="611"/>
      <c r="AJ106" s="571" t="s">
        <v>139</v>
      </c>
      <c r="AK106" s="571" t="s">
        <v>140</v>
      </c>
      <c r="AL106" s="571" t="s">
        <v>141</v>
      </c>
      <c r="AM106" s="571" t="s">
        <v>142</v>
      </c>
      <c r="AN106" s="608"/>
      <c r="AO106" s="526"/>
      <c r="AP106" s="571" t="s">
        <v>164</v>
      </c>
      <c r="AQ106" s="571" t="s">
        <v>172</v>
      </c>
      <c r="AR106" s="571" t="s">
        <v>101</v>
      </c>
      <c r="AS106" s="571" t="s">
        <v>169</v>
      </c>
      <c r="AT106" s="528"/>
      <c r="AU106" s="610"/>
      <c r="AV106" s="611"/>
      <c r="AW106" s="527" t="s">
        <v>135</v>
      </c>
      <c r="AX106" s="527" t="s">
        <v>53</v>
      </c>
      <c r="AY106" s="527" t="s">
        <v>132</v>
      </c>
      <c r="AZ106" s="527" t="s">
        <v>137</v>
      </c>
      <c r="BA106" s="605"/>
      <c r="BB106" s="529"/>
      <c r="BC106" s="518"/>
      <c r="BD106" s="520"/>
      <c r="BE106" s="520"/>
      <c r="BF106" s="518"/>
      <c r="BG106" s="612"/>
      <c r="BH106" s="608"/>
      <c r="BI106" s="608"/>
      <c r="BJ106" s="525"/>
      <c r="BK106" s="609"/>
      <c r="BL106" s="609"/>
      <c r="BM106" s="524"/>
      <c r="BN106" s="605"/>
      <c r="BO106" s="526"/>
      <c r="BP106" s="527" t="s">
        <v>164</v>
      </c>
      <c r="BQ106" s="527" t="s">
        <v>172</v>
      </c>
      <c r="BR106" s="527" t="s">
        <v>101</v>
      </c>
      <c r="BS106" s="527" t="s">
        <v>169</v>
      </c>
      <c r="BT106" s="528"/>
      <c r="BU106" s="610"/>
      <c r="BV106" s="611"/>
      <c r="BW106" s="571" t="s">
        <v>164</v>
      </c>
      <c r="BX106" s="571" t="s">
        <v>165</v>
      </c>
      <c r="BY106" s="571" t="s">
        <v>166</v>
      </c>
      <c r="BZ106" s="571" t="s">
        <v>167</v>
      </c>
      <c r="CA106" s="605"/>
    </row>
    <row r="107" spans="1:79" ht="15">
      <c r="A107" s="1537"/>
      <c r="B107" s="530">
        <v>1</v>
      </c>
      <c r="C107" s="531">
        <v>12</v>
      </c>
      <c r="D107" s="532"/>
      <c r="E107" s="532"/>
      <c r="F107" s="600"/>
      <c r="G107" s="613">
        <f>SUM(C$107:F107)</f>
        <v>12</v>
      </c>
      <c r="H107" s="614">
        <f>G107-I107</f>
        <v>4</v>
      </c>
      <c r="I107" s="615">
        <f>SUM(J$107:M107)</f>
        <v>8</v>
      </c>
      <c r="J107" s="531">
        <v>8</v>
      </c>
      <c r="K107" s="532"/>
      <c r="L107" s="532"/>
      <c r="M107" s="600"/>
      <c r="N107" s="604"/>
      <c r="O107" s="530">
        <v>1</v>
      </c>
      <c r="P107" s="531">
        <v>7</v>
      </c>
      <c r="Q107" s="532"/>
      <c r="R107" s="532"/>
      <c r="S107" s="600"/>
      <c r="T107" s="613">
        <f>SUM(P$107:S107)</f>
        <v>7</v>
      </c>
      <c r="U107" s="614">
        <f>T107-V107</f>
        <v>7</v>
      </c>
      <c r="V107" s="615">
        <f>SUM(W$107:Z107)</f>
        <v>0</v>
      </c>
      <c r="W107" s="531" t="s">
        <v>2</v>
      </c>
      <c r="X107" s="532"/>
      <c r="Y107" s="532"/>
      <c r="Z107" s="600"/>
      <c r="AA107" s="604"/>
      <c r="AB107" s="530">
        <v>1</v>
      </c>
      <c r="AC107" s="531">
        <v>5</v>
      </c>
      <c r="AD107" s="532"/>
      <c r="AE107" s="532"/>
      <c r="AF107" s="600"/>
      <c r="AG107" s="613">
        <f>SUM(AC$107:AF107)</f>
        <v>5</v>
      </c>
      <c r="AH107" s="614">
        <f>AG107-AI107</f>
        <v>-4</v>
      </c>
      <c r="AI107" s="615">
        <f>SUM(AJ$107:AM107)</f>
        <v>9</v>
      </c>
      <c r="AJ107" s="531">
        <v>9</v>
      </c>
      <c r="AK107" s="532"/>
      <c r="AL107" s="532"/>
      <c r="AM107" s="600"/>
      <c r="AN107" s="604"/>
      <c r="AO107" s="530">
        <v>1</v>
      </c>
      <c r="AP107" s="531">
        <v>5</v>
      </c>
      <c r="AQ107" s="532"/>
      <c r="AR107" s="532"/>
      <c r="AS107" s="600"/>
      <c r="AT107" s="613">
        <f>SUM(AP$107:AS107)</f>
        <v>5</v>
      </c>
      <c r="AU107" s="614">
        <f>AT107-AV107</f>
        <v>-4</v>
      </c>
      <c r="AV107" s="615">
        <f>SUM(AW$107:AZ107)</f>
        <v>9</v>
      </c>
      <c r="AW107" s="531">
        <v>9</v>
      </c>
      <c r="AX107" s="532"/>
      <c r="AY107" s="532"/>
      <c r="AZ107" s="600"/>
      <c r="BA107" s="605"/>
      <c r="BB107" s="529"/>
      <c r="BC107" s="520"/>
      <c r="BD107" s="518"/>
      <c r="BE107" s="518"/>
      <c r="BF107" s="518"/>
      <c r="BG107" s="612"/>
      <c r="BH107" s="604"/>
      <c r="BI107" s="612"/>
      <c r="BJ107" s="520"/>
      <c r="BK107" s="518"/>
      <c r="BL107" s="518"/>
      <c r="BM107" s="518"/>
      <c r="BN107" s="605"/>
      <c r="BO107" s="530">
        <v>1</v>
      </c>
      <c r="BP107" s="531">
        <v>9</v>
      </c>
      <c r="BQ107" s="532"/>
      <c r="BR107" s="532"/>
      <c r="BS107" s="600"/>
      <c r="BT107" s="613">
        <f>SUM(BP$107:BS107)</f>
        <v>9</v>
      </c>
      <c r="BU107" s="614">
        <f>BT107-BV107</f>
        <v>0</v>
      </c>
      <c r="BV107" s="615">
        <f>SUM(BW$107:BZ107)</f>
        <v>9</v>
      </c>
      <c r="BW107" s="531">
        <v>9</v>
      </c>
      <c r="BX107" s="532"/>
      <c r="BY107" s="532"/>
      <c r="BZ107" s="600"/>
      <c r="CA107" s="605"/>
    </row>
    <row r="108" spans="1:79" ht="15">
      <c r="A108" s="1537"/>
      <c r="B108" s="533">
        <v>2</v>
      </c>
      <c r="C108" s="532"/>
      <c r="D108" s="531">
        <v>2</v>
      </c>
      <c r="E108" s="532"/>
      <c r="F108" s="532"/>
      <c r="G108" s="613">
        <f>SUM(C$107:F108)</f>
        <v>14</v>
      </c>
      <c r="H108" s="614">
        <f t="shared" ref="H108:H116" si="21">G108-I108</f>
        <v>6</v>
      </c>
      <c r="I108" s="615">
        <f>SUM(J$107:M108)</f>
        <v>8</v>
      </c>
      <c r="J108" s="532"/>
      <c r="K108" s="531" t="s">
        <v>2</v>
      </c>
      <c r="L108" s="532"/>
      <c r="M108" s="532"/>
      <c r="N108" s="604"/>
      <c r="O108" s="533">
        <v>2</v>
      </c>
      <c r="P108" s="532"/>
      <c r="Q108" s="531">
        <v>9</v>
      </c>
      <c r="R108" s="532"/>
      <c r="S108" s="532"/>
      <c r="T108" s="613">
        <f>SUM(P$107:S108)</f>
        <v>16</v>
      </c>
      <c r="U108" s="614">
        <f t="shared" ref="U108:U119" si="22">T108-V108</f>
        <v>5</v>
      </c>
      <c r="V108" s="615">
        <f>SUM(W$107:Z108)</f>
        <v>11</v>
      </c>
      <c r="W108" s="532"/>
      <c r="X108" s="531">
        <v>11</v>
      </c>
      <c r="Y108" s="532"/>
      <c r="Z108" s="532"/>
      <c r="AA108" s="604"/>
      <c r="AB108" s="533">
        <v>2</v>
      </c>
      <c r="AC108" s="532"/>
      <c r="AD108" s="531">
        <v>8</v>
      </c>
      <c r="AE108" s="532"/>
      <c r="AF108" s="532"/>
      <c r="AG108" s="613">
        <f>SUM(AC$107:AF108)</f>
        <v>13</v>
      </c>
      <c r="AH108" s="614">
        <f t="shared" ref="AH108:AH113" si="23">AG108-AI108</f>
        <v>4</v>
      </c>
      <c r="AI108" s="615">
        <f>SUM(AJ$107:AM108)</f>
        <v>9</v>
      </c>
      <c r="AJ108" s="532"/>
      <c r="AK108" s="531" t="s">
        <v>2</v>
      </c>
      <c r="AL108" s="532"/>
      <c r="AM108" s="532"/>
      <c r="AN108" s="604"/>
      <c r="AO108" s="533">
        <v>2</v>
      </c>
      <c r="AP108" s="532"/>
      <c r="AQ108" s="531">
        <v>6</v>
      </c>
      <c r="AR108" s="532"/>
      <c r="AS108" s="532"/>
      <c r="AT108" s="613">
        <f>SUM(AP$107:AS108)</f>
        <v>11</v>
      </c>
      <c r="AU108" s="614">
        <f t="shared" ref="AU108:AU115" si="24">AT108-AV108</f>
        <v>2</v>
      </c>
      <c r="AV108" s="615">
        <f>SUM(AW$107:AZ108)</f>
        <v>9</v>
      </c>
      <c r="AW108" s="532"/>
      <c r="AX108" s="531" t="s">
        <v>2</v>
      </c>
      <c r="AY108" s="532"/>
      <c r="AZ108" s="532"/>
      <c r="BA108" s="605"/>
      <c r="BB108" s="529"/>
      <c r="BC108" s="518"/>
      <c r="BD108" s="520"/>
      <c r="BE108" s="520"/>
      <c r="BF108" s="518"/>
      <c r="BG108" s="612"/>
      <c r="BH108" s="604"/>
      <c r="BI108" s="612"/>
      <c r="BJ108" s="518"/>
      <c r="BK108" s="520"/>
      <c r="BL108" s="520"/>
      <c r="BM108" s="518"/>
      <c r="BN108" s="605"/>
      <c r="BO108" s="533">
        <v>2</v>
      </c>
      <c r="BP108" s="532"/>
      <c r="BQ108" s="531">
        <v>6</v>
      </c>
      <c r="BR108" s="532"/>
      <c r="BS108" s="532"/>
      <c r="BT108" s="613">
        <f>SUM(BP$107:BS108)</f>
        <v>15</v>
      </c>
      <c r="BU108" s="614">
        <f t="shared" ref="BU108:BU118" si="25">BT108-BV108</f>
        <v>-3</v>
      </c>
      <c r="BV108" s="615">
        <f>SUM(BW$107:BZ108)</f>
        <v>18</v>
      </c>
      <c r="BW108" s="532"/>
      <c r="BX108" s="531">
        <v>9</v>
      </c>
      <c r="BY108" s="532"/>
      <c r="BZ108" s="532"/>
      <c r="CA108" s="605"/>
    </row>
    <row r="109" spans="1:79" ht="15">
      <c r="A109" s="1537"/>
      <c r="B109" s="533">
        <v>3</v>
      </c>
      <c r="C109" s="531"/>
      <c r="D109" s="532"/>
      <c r="E109" s="532">
        <v>4</v>
      </c>
      <c r="F109" s="600"/>
      <c r="G109" s="613">
        <f>SUM(C$107:F109)</f>
        <v>18</v>
      </c>
      <c r="H109" s="614">
        <f t="shared" si="21"/>
        <v>4</v>
      </c>
      <c r="I109" s="615">
        <f>SUM(J$107:M109)</f>
        <v>14</v>
      </c>
      <c r="J109" s="531"/>
      <c r="K109" s="532"/>
      <c r="L109" s="532">
        <v>6</v>
      </c>
      <c r="M109" s="600"/>
      <c r="N109" s="604"/>
      <c r="O109" s="533">
        <v>3</v>
      </c>
      <c r="P109" s="531"/>
      <c r="Q109" s="532"/>
      <c r="R109" s="532">
        <v>11</v>
      </c>
      <c r="S109" s="600"/>
      <c r="T109" s="613">
        <f>SUM(P$107:S109)</f>
        <v>27</v>
      </c>
      <c r="U109" s="614">
        <f t="shared" si="22"/>
        <v>5</v>
      </c>
      <c r="V109" s="615">
        <f>SUM(W$107:Z109)</f>
        <v>22</v>
      </c>
      <c r="W109" s="531"/>
      <c r="X109" s="532"/>
      <c r="Y109" s="532">
        <v>11</v>
      </c>
      <c r="Z109" s="600"/>
      <c r="AA109" s="604"/>
      <c r="AB109" s="533">
        <v>3</v>
      </c>
      <c r="AC109" s="531"/>
      <c r="AD109" s="532"/>
      <c r="AE109" s="532">
        <v>3</v>
      </c>
      <c r="AF109" s="600"/>
      <c r="AG109" s="613">
        <f>SUM(AC$107:AF109)</f>
        <v>16</v>
      </c>
      <c r="AH109" s="614">
        <f t="shared" si="23"/>
        <v>1</v>
      </c>
      <c r="AI109" s="615">
        <f>SUM(AJ$107:AM109)</f>
        <v>15</v>
      </c>
      <c r="AJ109" s="531"/>
      <c r="AK109" s="532"/>
      <c r="AL109" s="532">
        <v>6</v>
      </c>
      <c r="AM109" s="600"/>
      <c r="AN109" s="604"/>
      <c r="AO109" s="533">
        <v>3</v>
      </c>
      <c r="AP109" s="531"/>
      <c r="AQ109" s="532"/>
      <c r="AR109" s="532" t="s">
        <v>2</v>
      </c>
      <c r="AS109" s="600"/>
      <c r="AT109" s="613">
        <f>SUM(AP$107:AS109)</f>
        <v>11</v>
      </c>
      <c r="AU109" s="614">
        <f t="shared" si="24"/>
        <v>-9</v>
      </c>
      <c r="AV109" s="615">
        <f>SUM(AW$107:AZ109)</f>
        <v>20</v>
      </c>
      <c r="AW109" s="531"/>
      <c r="AX109" s="532"/>
      <c r="AY109" s="532">
        <v>11</v>
      </c>
      <c r="AZ109" s="600"/>
      <c r="BA109" s="605"/>
      <c r="BB109" s="529"/>
      <c r="BC109" s="520"/>
      <c r="BD109" s="518"/>
      <c r="BE109" s="518"/>
      <c r="BF109" s="518"/>
      <c r="BG109" s="612"/>
      <c r="BH109" s="604"/>
      <c r="BI109" s="612"/>
      <c r="BJ109" s="520"/>
      <c r="BK109" s="518"/>
      <c r="BL109" s="518"/>
      <c r="BM109" s="518"/>
      <c r="BN109" s="605"/>
      <c r="BO109" s="533">
        <v>3</v>
      </c>
      <c r="BP109" s="531"/>
      <c r="BQ109" s="532"/>
      <c r="BR109" s="532">
        <v>6</v>
      </c>
      <c r="BS109" s="600"/>
      <c r="BT109" s="613">
        <f>SUM(BP$107:BS109)</f>
        <v>21</v>
      </c>
      <c r="BU109" s="614">
        <f t="shared" si="25"/>
        <v>1</v>
      </c>
      <c r="BV109" s="615">
        <f>SUM(BW$107:BZ109)</f>
        <v>20</v>
      </c>
      <c r="BW109" s="531"/>
      <c r="BX109" s="532"/>
      <c r="BY109" s="532">
        <v>2</v>
      </c>
      <c r="BZ109" s="600"/>
      <c r="CA109" s="605"/>
    </row>
    <row r="110" spans="1:79" ht="15">
      <c r="A110" s="1537"/>
      <c r="B110" s="530">
        <v>4</v>
      </c>
      <c r="C110" s="532"/>
      <c r="D110" s="531"/>
      <c r="E110" s="532"/>
      <c r="F110" s="532">
        <v>8</v>
      </c>
      <c r="G110" s="613">
        <f>SUM(C$107:F110)</f>
        <v>26</v>
      </c>
      <c r="H110" s="614">
        <f t="shared" si="21"/>
        <v>10</v>
      </c>
      <c r="I110" s="615">
        <f>SUM(J$107:M110)</f>
        <v>16</v>
      </c>
      <c r="J110" s="532"/>
      <c r="K110" s="531"/>
      <c r="L110" s="532"/>
      <c r="M110" s="532">
        <v>2</v>
      </c>
      <c r="N110" s="604"/>
      <c r="O110" s="530">
        <v>4</v>
      </c>
      <c r="P110" s="532"/>
      <c r="Q110" s="531"/>
      <c r="R110" s="532"/>
      <c r="S110" s="532">
        <v>5</v>
      </c>
      <c r="T110" s="613">
        <f>SUM(P$107:S110)</f>
        <v>32</v>
      </c>
      <c r="U110" s="614">
        <f t="shared" si="22"/>
        <v>10</v>
      </c>
      <c r="V110" s="615">
        <f>SUM(W$107:Z110)</f>
        <v>22</v>
      </c>
      <c r="W110" s="532"/>
      <c r="X110" s="531"/>
      <c r="Y110" s="532"/>
      <c r="Z110" s="532" t="s">
        <v>2</v>
      </c>
      <c r="AA110" s="604"/>
      <c r="AB110" s="530">
        <v>4</v>
      </c>
      <c r="AC110" s="532"/>
      <c r="AD110" s="531"/>
      <c r="AE110" s="532"/>
      <c r="AF110" s="532">
        <v>7</v>
      </c>
      <c r="AG110" s="613">
        <f>SUM(AC$107:AF110)</f>
        <v>23</v>
      </c>
      <c r="AH110" s="614">
        <f t="shared" si="23"/>
        <v>6</v>
      </c>
      <c r="AI110" s="615">
        <f>SUM(AJ$107:AM110)</f>
        <v>17</v>
      </c>
      <c r="AJ110" s="532"/>
      <c r="AK110" s="531"/>
      <c r="AL110" s="532"/>
      <c r="AM110" s="532">
        <v>2</v>
      </c>
      <c r="AN110" s="604"/>
      <c r="AO110" s="530">
        <v>4</v>
      </c>
      <c r="AP110" s="532"/>
      <c r="AQ110" s="531"/>
      <c r="AR110" s="532"/>
      <c r="AS110" s="532">
        <v>11</v>
      </c>
      <c r="AT110" s="613">
        <f>SUM(AP$107:AS110)</f>
        <v>22</v>
      </c>
      <c r="AU110" s="614">
        <f t="shared" si="24"/>
        <v>-9</v>
      </c>
      <c r="AV110" s="615">
        <f>SUM(AW$107:AZ110)</f>
        <v>31</v>
      </c>
      <c r="AW110" s="532"/>
      <c r="AX110" s="531"/>
      <c r="AY110" s="532"/>
      <c r="AZ110" s="532">
        <v>11</v>
      </c>
      <c r="BA110" s="605"/>
      <c r="BB110" s="529"/>
      <c r="BC110" s="518"/>
      <c r="BD110" s="520"/>
      <c r="BE110" s="520"/>
      <c r="BF110" s="518"/>
      <c r="BG110" s="612"/>
      <c r="BH110" s="604"/>
      <c r="BI110" s="612"/>
      <c r="BJ110" s="518"/>
      <c r="BK110" s="520"/>
      <c r="BL110" s="520"/>
      <c r="BM110" s="518"/>
      <c r="BN110" s="605"/>
      <c r="BO110" s="530">
        <v>4</v>
      </c>
      <c r="BP110" s="532"/>
      <c r="BQ110" s="531"/>
      <c r="BR110" s="532"/>
      <c r="BS110" s="532">
        <v>7</v>
      </c>
      <c r="BT110" s="613">
        <f>SUM(BP$107:BS110)</f>
        <v>28</v>
      </c>
      <c r="BU110" s="614">
        <f t="shared" si="25"/>
        <v>8</v>
      </c>
      <c r="BV110" s="615">
        <f>SUM(BW$107:BZ110)</f>
        <v>20</v>
      </c>
      <c r="BW110" s="532"/>
      <c r="BX110" s="531"/>
      <c r="BY110" s="532"/>
      <c r="BZ110" s="532" t="s">
        <v>2</v>
      </c>
      <c r="CA110" s="605"/>
    </row>
    <row r="111" spans="1:79" ht="15">
      <c r="A111" s="1537"/>
      <c r="B111" s="533">
        <v>5</v>
      </c>
      <c r="C111" s="531">
        <v>2</v>
      </c>
      <c r="D111" s="532"/>
      <c r="E111" s="532"/>
      <c r="F111" s="600"/>
      <c r="G111" s="613">
        <f>SUM(C$107:F111)</f>
        <v>28</v>
      </c>
      <c r="H111" s="614">
        <f t="shared" si="21"/>
        <v>0</v>
      </c>
      <c r="I111" s="615">
        <f>SUM(J$107:M111)</f>
        <v>28</v>
      </c>
      <c r="J111" s="531">
        <v>12</v>
      </c>
      <c r="K111" s="532"/>
      <c r="L111" s="532"/>
      <c r="M111" s="600"/>
      <c r="N111" s="604"/>
      <c r="O111" s="533">
        <v>5</v>
      </c>
      <c r="P111" s="531">
        <v>7</v>
      </c>
      <c r="Q111" s="532"/>
      <c r="R111" s="532"/>
      <c r="S111" s="600"/>
      <c r="T111" s="613">
        <f>SUM(P$107:S111)</f>
        <v>39</v>
      </c>
      <c r="U111" s="614">
        <f t="shared" si="22"/>
        <v>6</v>
      </c>
      <c r="V111" s="615">
        <f>SUM(W$107:Z111)</f>
        <v>33</v>
      </c>
      <c r="W111" s="531">
        <v>11</v>
      </c>
      <c r="X111" s="532"/>
      <c r="Y111" s="532"/>
      <c r="Z111" s="600"/>
      <c r="AA111" s="604"/>
      <c r="AB111" s="533">
        <v>5</v>
      </c>
      <c r="AC111" s="531">
        <v>10</v>
      </c>
      <c r="AD111" s="532"/>
      <c r="AE111" s="532"/>
      <c r="AF111" s="600"/>
      <c r="AG111" s="613">
        <f>SUM(AC$107:AF111)</f>
        <v>33</v>
      </c>
      <c r="AH111" s="614">
        <f t="shared" si="23"/>
        <v>4</v>
      </c>
      <c r="AI111" s="615">
        <f>SUM(AJ$107:AM111)</f>
        <v>29</v>
      </c>
      <c r="AJ111" s="531">
        <v>12</v>
      </c>
      <c r="AK111" s="532"/>
      <c r="AL111" s="532"/>
      <c r="AM111" s="600"/>
      <c r="AN111" s="604"/>
      <c r="AO111" s="533">
        <v>5</v>
      </c>
      <c r="AP111" s="531">
        <v>3</v>
      </c>
      <c r="AQ111" s="532"/>
      <c r="AR111" s="532"/>
      <c r="AS111" s="600"/>
      <c r="AT111" s="613">
        <f>SUM(AP$107:AS111)</f>
        <v>25</v>
      </c>
      <c r="AU111" s="614">
        <f t="shared" si="24"/>
        <v>-17</v>
      </c>
      <c r="AV111" s="615">
        <f>SUM(AW$107:AZ111)</f>
        <v>42</v>
      </c>
      <c r="AW111" s="531">
        <v>11</v>
      </c>
      <c r="AX111" s="532"/>
      <c r="AY111" s="532"/>
      <c r="AZ111" s="600"/>
      <c r="BA111" s="605"/>
      <c r="BB111" s="529"/>
      <c r="BC111" s="520"/>
      <c r="BD111" s="518"/>
      <c r="BE111" s="518"/>
      <c r="BF111" s="518"/>
      <c r="BG111" s="612"/>
      <c r="BH111" s="604"/>
      <c r="BI111" s="612"/>
      <c r="BJ111" s="520"/>
      <c r="BK111" s="518"/>
      <c r="BL111" s="518"/>
      <c r="BM111" s="518"/>
      <c r="BN111" s="605"/>
      <c r="BO111" s="533">
        <v>5</v>
      </c>
      <c r="BP111" s="531" t="s">
        <v>2</v>
      </c>
      <c r="BQ111" s="532"/>
      <c r="BR111" s="532"/>
      <c r="BS111" s="600"/>
      <c r="BT111" s="613">
        <f>SUM(BP$107:BS111)</f>
        <v>28</v>
      </c>
      <c r="BU111" s="614">
        <f t="shared" si="25"/>
        <v>0</v>
      </c>
      <c r="BV111" s="615">
        <f>SUM(BW$107:BZ111)</f>
        <v>28</v>
      </c>
      <c r="BW111" s="531">
        <v>8</v>
      </c>
      <c r="BX111" s="532"/>
      <c r="BY111" s="532"/>
      <c r="BZ111" s="600"/>
      <c r="CA111" s="605"/>
    </row>
    <row r="112" spans="1:79" ht="15">
      <c r="A112" s="1537"/>
      <c r="B112" s="533">
        <v>6</v>
      </c>
      <c r="C112" s="532"/>
      <c r="D112" s="531" t="s">
        <v>2</v>
      </c>
      <c r="E112" s="532"/>
      <c r="F112" s="532"/>
      <c r="G112" s="613">
        <f>SUM(C$107:F112)</f>
        <v>28</v>
      </c>
      <c r="H112" s="614">
        <f t="shared" si="21"/>
        <v>-12</v>
      </c>
      <c r="I112" s="615">
        <f>SUM(J$107:M112)</f>
        <v>40</v>
      </c>
      <c r="J112" s="532"/>
      <c r="K112" s="532">
        <v>12</v>
      </c>
      <c r="L112" s="532"/>
      <c r="M112" s="532"/>
      <c r="N112" s="604"/>
      <c r="O112" s="533">
        <v>6</v>
      </c>
      <c r="P112" s="532"/>
      <c r="Q112" s="531">
        <v>5</v>
      </c>
      <c r="R112" s="532"/>
      <c r="S112" s="532"/>
      <c r="T112" s="613">
        <f>SUM(P$107:S112)</f>
        <v>44</v>
      </c>
      <c r="U112" s="614">
        <f t="shared" si="22"/>
        <v>11</v>
      </c>
      <c r="V112" s="615">
        <f>SUM(W$107:Z112)</f>
        <v>33</v>
      </c>
      <c r="W112" s="532"/>
      <c r="X112" s="532" t="s">
        <v>2</v>
      </c>
      <c r="Y112" s="532"/>
      <c r="Z112" s="532"/>
      <c r="AA112" s="604"/>
      <c r="AB112" s="533">
        <v>6</v>
      </c>
      <c r="AC112" s="532"/>
      <c r="AD112" s="531">
        <v>11</v>
      </c>
      <c r="AE112" s="532"/>
      <c r="AF112" s="532"/>
      <c r="AG112" s="613">
        <f>SUM(AC$107:AF112)</f>
        <v>44</v>
      </c>
      <c r="AH112" s="614">
        <f t="shared" si="23"/>
        <v>15</v>
      </c>
      <c r="AI112" s="615">
        <f>SUM(AJ$107:AM112)</f>
        <v>29</v>
      </c>
      <c r="AJ112" s="532"/>
      <c r="AK112" s="532" t="s">
        <v>2</v>
      </c>
      <c r="AL112" s="532"/>
      <c r="AM112" s="532"/>
      <c r="AN112" s="604"/>
      <c r="AO112" s="533">
        <v>6</v>
      </c>
      <c r="AP112" s="532"/>
      <c r="AQ112" s="531">
        <v>5</v>
      </c>
      <c r="AR112" s="532"/>
      <c r="AS112" s="532"/>
      <c r="AT112" s="613">
        <f>SUM(AP$107:AS112)</f>
        <v>30</v>
      </c>
      <c r="AU112" s="614">
        <f t="shared" si="24"/>
        <v>-14</v>
      </c>
      <c r="AV112" s="615">
        <f>SUM(AW$107:AZ112)</f>
        <v>44</v>
      </c>
      <c r="AW112" s="532"/>
      <c r="AX112" s="532">
        <v>2</v>
      </c>
      <c r="AY112" s="532"/>
      <c r="AZ112" s="532"/>
      <c r="BA112" s="605"/>
      <c r="BB112" s="529"/>
      <c r="BC112" s="518"/>
      <c r="BD112" s="520"/>
      <c r="BE112" s="520"/>
      <c r="BF112" s="518"/>
      <c r="BG112" s="612"/>
      <c r="BH112" s="604"/>
      <c r="BI112" s="612"/>
      <c r="BJ112" s="518"/>
      <c r="BK112" s="520"/>
      <c r="BL112" s="520"/>
      <c r="BM112" s="518"/>
      <c r="BN112" s="605"/>
      <c r="BO112" s="533">
        <v>6</v>
      </c>
      <c r="BP112" s="532"/>
      <c r="BQ112" s="531">
        <v>5</v>
      </c>
      <c r="BR112" s="532"/>
      <c r="BS112" s="532"/>
      <c r="BT112" s="613">
        <f>SUM(BP$107:BS112)</f>
        <v>33</v>
      </c>
      <c r="BU112" s="614">
        <f t="shared" si="25"/>
        <v>3</v>
      </c>
      <c r="BV112" s="615">
        <f>SUM(BW$107:BZ112)</f>
        <v>30</v>
      </c>
      <c r="BW112" s="532"/>
      <c r="BX112" s="532">
        <v>2</v>
      </c>
      <c r="BY112" s="532"/>
      <c r="BZ112" s="532"/>
      <c r="CA112" s="605"/>
    </row>
    <row r="113" spans="1:79" ht="15">
      <c r="A113" s="1537"/>
      <c r="B113" s="530">
        <v>7</v>
      </c>
      <c r="C113" s="531"/>
      <c r="D113" s="532"/>
      <c r="E113" s="532" t="s">
        <v>2</v>
      </c>
      <c r="F113" s="600"/>
      <c r="G113" s="613">
        <f>SUM(C$107:F113)</f>
        <v>28</v>
      </c>
      <c r="H113" s="614">
        <f t="shared" si="21"/>
        <v>-15</v>
      </c>
      <c r="I113" s="615">
        <f>SUM(J$107:M113)</f>
        <v>43</v>
      </c>
      <c r="J113" s="531"/>
      <c r="K113" s="532"/>
      <c r="L113" s="532">
        <v>3</v>
      </c>
      <c r="M113" s="600"/>
      <c r="N113" s="604"/>
      <c r="O113" s="530">
        <v>7</v>
      </c>
      <c r="P113" s="531"/>
      <c r="Q113" s="532"/>
      <c r="R113" s="535">
        <v>-19</v>
      </c>
      <c r="S113" s="600"/>
      <c r="T113" s="613">
        <f>SUM(P$107:S113)</f>
        <v>25</v>
      </c>
      <c r="U113" s="614">
        <f t="shared" si="22"/>
        <v>-10</v>
      </c>
      <c r="V113" s="615">
        <f>SUM(W$107:Z113)</f>
        <v>35</v>
      </c>
      <c r="W113" s="531"/>
      <c r="X113" s="532"/>
      <c r="Y113" s="532">
        <v>2</v>
      </c>
      <c r="Z113" s="600"/>
      <c r="AA113" s="604"/>
      <c r="AB113" s="530">
        <v>7</v>
      </c>
      <c r="AC113" s="531"/>
      <c r="AD113" s="532"/>
      <c r="AE113" s="565">
        <v>6</v>
      </c>
      <c r="AF113" s="600"/>
      <c r="AG113" s="613">
        <f>SUM(AC$107:AF113)</f>
        <v>50</v>
      </c>
      <c r="AH113" s="614">
        <f t="shared" si="23"/>
        <v>21</v>
      </c>
      <c r="AI113" s="615">
        <f>SUM(AJ$107:AM113)</f>
        <v>29</v>
      </c>
      <c r="AJ113" s="531"/>
      <c r="AK113" s="532"/>
      <c r="AL113" s="532"/>
      <c r="AM113" s="600"/>
      <c r="AN113" s="604"/>
      <c r="AO113" s="530">
        <v>7</v>
      </c>
      <c r="AP113" s="531"/>
      <c r="AQ113" s="532"/>
      <c r="AR113" s="532">
        <v>6</v>
      </c>
      <c r="AS113" s="600"/>
      <c r="AT113" s="613">
        <f>SUM(AP$107:AS113)</f>
        <v>36</v>
      </c>
      <c r="AU113" s="614">
        <f t="shared" si="24"/>
        <v>-8</v>
      </c>
      <c r="AV113" s="615">
        <f>SUM(AW$107:AZ113)</f>
        <v>44</v>
      </c>
      <c r="AW113" s="531"/>
      <c r="AX113" s="532"/>
      <c r="AY113" s="532" t="s">
        <v>2</v>
      </c>
      <c r="AZ113" s="600"/>
      <c r="BA113" s="605"/>
      <c r="BB113" s="529"/>
      <c r="BC113" s="520"/>
      <c r="BD113" s="518"/>
      <c r="BE113" s="518"/>
      <c r="BF113" s="518"/>
      <c r="BG113" s="612"/>
      <c r="BH113" s="604"/>
      <c r="BI113" s="612"/>
      <c r="BJ113" s="520"/>
      <c r="BK113" s="518"/>
      <c r="BL113" s="518"/>
      <c r="BM113" s="518"/>
      <c r="BN113" s="605"/>
      <c r="BO113" s="530">
        <v>7</v>
      </c>
      <c r="BP113" s="531"/>
      <c r="BQ113" s="532"/>
      <c r="BR113" s="532">
        <v>4</v>
      </c>
      <c r="BS113" s="600"/>
      <c r="BT113" s="613">
        <f>SUM(BP$107:BS113)</f>
        <v>37</v>
      </c>
      <c r="BU113" s="614">
        <f t="shared" si="25"/>
        <v>-5</v>
      </c>
      <c r="BV113" s="615">
        <f>SUM(BW$107:BZ113)</f>
        <v>42</v>
      </c>
      <c r="BW113" s="531"/>
      <c r="BX113" s="532"/>
      <c r="BY113" s="532">
        <v>12</v>
      </c>
      <c r="BZ113" s="600"/>
      <c r="CA113" s="605"/>
    </row>
    <row r="114" spans="1:79" ht="15">
      <c r="A114" s="1537"/>
      <c r="B114" s="533">
        <v>8</v>
      </c>
      <c r="C114" s="532"/>
      <c r="D114" s="531"/>
      <c r="E114" s="532"/>
      <c r="F114" s="644">
        <v>2</v>
      </c>
      <c r="G114" s="613">
        <f>SUM(C$107:F114)</f>
        <v>30</v>
      </c>
      <c r="H114" s="614">
        <f t="shared" si="21"/>
        <v>-15</v>
      </c>
      <c r="I114" s="615">
        <f>SUM(J$107:M114)</f>
        <v>45</v>
      </c>
      <c r="J114" s="532"/>
      <c r="K114" s="531"/>
      <c r="L114" s="532"/>
      <c r="M114" s="532">
        <v>2</v>
      </c>
      <c r="N114" s="604"/>
      <c r="O114" s="533">
        <v>8</v>
      </c>
      <c r="P114" s="532"/>
      <c r="Q114" s="531"/>
      <c r="R114" s="532"/>
      <c r="S114" s="532">
        <v>2</v>
      </c>
      <c r="T114" s="613">
        <f>SUM(P$107:S114)</f>
        <v>27</v>
      </c>
      <c r="U114" s="614">
        <f t="shared" si="22"/>
        <v>-15</v>
      </c>
      <c r="V114" s="615">
        <f>SUM(W$107:Z114)</f>
        <v>42</v>
      </c>
      <c r="W114" s="532"/>
      <c r="X114" s="531"/>
      <c r="Y114" s="532"/>
      <c r="Z114" s="532">
        <v>7</v>
      </c>
      <c r="AA114" s="604"/>
      <c r="AB114" s="522"/>
      <c r="AC114" s="534"/>
      <c r="AD114" s="616"/>
      <c r="AE114" s="616"/>
      <c r="AF114" s="534"/>
      <c r="AG114" s="616"/>
      <c r="AH114" s="607"/>
      <c r="AI114" s="607"/>
      <c r="AJ114" s="534"/>
      <c r="AK114" s="616"/>
      <c r="AL114" s="616"/>
      <c r="AM114" s="534"/>
      <c r="AN114" s="604"/>
      <c r="AO114" s="533">
        <v>8</v>
      </c>
      <c r="AP114" s="532"/>
      <c r="AQ114" s="531"/>
      <c r="AR114" s="532"/>
      <c r="AS114" s="532" t="s">
        <v>2</v>
      </c>
      <c r="AT114" s="613">
        <f>SUM(AP$107:AS114)</f>
        <v>36</v>
      </c>
      <c r="AU114" s="614">
        <f t="shared" si="24"/>
        <v>-11</v>
      </c>
      <c r="AV114" s="615">
        <f>SUM(AW$107:AZ114)</f>
        <v>47</v>
      </c>
      <c r="AW114" s="532"/>
      <c r="AX114" s="531"/>
      <c r="AY114" s="532"/>
      <c r="AZ114" s="532">
        <v>3</v>
      </c>
      <c r="BA114" s="605"/>
      <c r="BB114" s="529"/>
      <c r="BC114" s="518"/>
      <c r="BD114" s="520"/>
      <c r="BE114" s="520"/>
      <c r="BF114" s="518"/>
      <c r="BG114" s="612"/>
      <c r="BH114" s="604"/>
      <c r="BI114" s="612"/>
      <c r="BJ114" s="518"/>
      <c r="BK114" s="520"/>
      <c r="BL114" s="520"/>
      <c r="BM114" s="518"/>
      <c r="BN114" s="605"/>
      <c r="BO114" s="533">
        <v>8</v>
      </c>
      <c r="BP114" s="532"/>
      <c r="BQ114" s="531"/>
      <c r="BR114" s="532"/>
      <c r="BS114" s="532">
        <v>9</v>
      </c>
      <c r="BT114" s="613">
        <f>SUM(BP$107:BS114)</f>
        <v>46</v>
      </c>
      <c r="BU114" s="614">
        <f t="shared" si="25"/>
        <v>4</v>
      </c>
      <c r="BV114" s="615">
        <f>SUM(BW$107:BZ114)</f>
        <v>42</v>
      </c>
      <c r="BW114" s="532"/>
      <c r="BX114" s="531"/>
      <c r="BY114" s="532"/>
      <c r="BZ114" s="532" t="s">
        <v>2</v>
      </c>
      <c r="CA114" s="605"/>
    </row>
    <row r="115" spans="1:79" ht="15">
      <c r="A115" s="1537"/>
      <c r="B115" s="530">
        <v>9</v>
      </c>
      <c r="C115" s="531" t="s">
        <v>2</v>
      </c>
      <c r="D115" s="532"/>
      <c r="E115" s="532"/>
      <c r="F115" s="600"/>
      <c r="G115" s="613">
        <f>SUM(C$107:F115)</f>
        <v>30</v>
      </c>
      <c r="H115" s="614">
        <f t="shared" si="21"/>
        <v>-15</v>
      </c>
      <c r="I115" s="615">
        <f>SUM(J$107:M115)</f>
        <v>45</v>
      </c>
      <c r="J115" s="532" t="s">
        <v>2</v>
      </c>
      <c r="K115" s="532"/>
      <c r="L115" s="532"/>
      <c r="M115" s="600"/>
      <c r="N115" s="604"/>
      <c r="O115" s="530">
        <v>9</v>
      </c>
      <c r="P115" s="531" t="s">
        <v>2</v>
      </c>
      <c r="Q115" s="532"/>
      <c r="R115" s="532"/>
      <c r="S115" s="600"/>
      <c r="T115" s="613">
        <f>SUM(P$107:S115)</f>
        <v>27</v>
      </c>
      <c r="U115" s="614">
        <f t="shared" si="22"/>
        <v>-15</v>
      </c>
      <c r="V115" s="615">
        <f>SUM(W$107:Z115)</f>
        <v>42</v>
      </c>
      <c r="W115" s="532" t="s">
        <v>2</v>
      </c>
      <c r="X115" s="532"/>
      <c r="Y115" s="532"/>
      <c r="Z115" s="600"/>
      <c r="AA115" s="604"/>
      <c r="AB115" s="522"/>
      <c r="AC115" s="534"/>
      <c r="AD115" s="616"/>
      <c r="AE115" s="616"/>
      <c r="AF115" s="534"/>
      <c r="AG115" s="616"/>
      <c r="AH115" s="607"/>
      <c r="AI115" s="607"/>
      <c r="AJ115" s="534"/>
      <c r="AK115" s="616"/>
      <c r="AL115" s="616"/>
      <c r="AM115" s="534"/>
      <c r="AN115" s="604"/>
      <c r="AO115" s="530">
        <v>9</v>
      </c>
      <c r="AP115" s="531" t="s">
        <v>2</v>
      </c>
      <c r="AQ115" s="532"/>
      <c r="AR115" s="532"/>
      <c r="AS115" s="600"/>
      <c r="AT115" s="613">
        <f>SUM(AP$107:AS115)</f>
        <v>36</v>
      </c>
      <c r="AU115" s="614">
        <f t="shared" si="24"/>
        <v>-14</v>
      </c>
      <c r="AV115" s="615">
        <f>SUM(AW$107:AZ115)</f>
        <v>50</v>
      </c>
      <c r="AW115" s="565">
        <v>3</v>
      </c>
      <c r="AX115" s="532"/>
      <c r="AY115" s="532"/>
      <c r="AZ115" s="600"/>
      <c r="BA115" s="605"/>
      <c r="BB115" s="529"/>
      <c r="BC115" s="518"/>
      <c r="BD115" s="520"/>
      <c r="BE115" s="520"/>
      <c r="BF115" s="518"/>
      <c r="BG115" s="612"/>
      <c r="BH115" s="604"/>
      <c r="BI115" s="612"/>
      <c r="BJ115" s="518"/>
      <c r="BK115" s="520"/>
      <c r="BL115" s="520"/>
      <c r="BM115" s="518"/>
      <c r="BN115" s="605"/>
      <c r="BO115" s="530">
        <v>9</v>
      </c>
      <c r="BP115" s="531" t="s">
        <v>2</v>
      </c>
      <c r="BQ115" s="532"/>
      <c r="BR115" s="532"/>
      <c r="BS115" s="600"/>
      <c r="BT115" s="613">
        <f>SUM(BP$107:BS115)</f>
        <v>46</v>
      </c>
      <c r="BU115" s="614">
        <f t="shared" si="25"/>
        <v>21</v>
      </c>
      <c r="BV115" s="615">
        <f>SUM(BW$107:BZ115)</f>
        <v>25</v>
      </c>
      <c r="BW115" s="535">
        <v>-17</v>
      </c>
      <c r="BX115" s="532"/>
      <c r="BY115" s="532"/>
      <c r="BZ115" s="600"/>
      <c r="CA115" s="605"/>
    </row>
    <row r="116" spans="1:79" ht="15">
      <c r="A116" s="1537"/>
      <c r="B116" s="533">
        <v>10</v>
      </c>
      <c r="C116" s="532"/>
      <c r="D116" s="531">
        <v>2</v>
      </c>
      <c r="E116" s="532"/>
      <c r="F116" s="532"/>
      <c r="G116" s="613">
        <f>SUM(C$107:F116)</f>
        <v>32</v>
      </c>
      <c r="H116" s="614">
        <f t="shared" si="21"/>
        <v>-18</v>
      </c>
      <c r="I116" s="615">
        <f>SUM(J$107:M116)</f>
        <v>50</v>
      </c>
      <c r="J116" s="532"/>
      <c r="K116" s="565">
        <v>5</v>
      </c>
      <c r="L116" s="532"/>
      <c r="M116" s="532"/>
      <c r="N116" s="604"/>
      <c r="O116" s="533">
        <v>10</v>
      </c>
      <c r="P116" s="532"/>
      <c r="Q116" s="531">
        <v>8</v>
      </c>
      <c r="R116" s="532"/>
      <c r="S116" s="532"/>
      <c r="T116" s="613">
        <f>SUM(P$107:S116)</f>
        <v>35</v>
      </c>
      <c r="U116" s="614">
        <f t="shared" si="22"/>
        <v>-7</v>
      </c>
      <c r="V116" s="615">
        <f>SUM(W$107:Z116)</f>
        <v>42</v>
      </c>
      <c r="W116" s="532"/>
      <c r="X116" s="531" t="s">
        <v>2</v>
      </c>
      <c r="Y116" s="532"/>
      <c r="Z116" s="532"/>
      <c r="AA116" s="604"/>
      <c r="AB116" s="522"/>
      <c r="AC116" s="534"/>
      <c r="AD116" s="616"/>
      <c r="AE116" s="616"/>
      <c r="AF116" s="534"/>
      <c r="AG116" s="616"/>
      <c r="AH116" s="607"/>
      <c r="AI116" s="607"/>
      <c r="AJ116" s="534"/>
      <c r="AK116" s="616"/>
      <c r="AL116" s="616"/>
      <c r="AM116" s="534"/>
      <c r="AN116" s="604"/>
      <c r="AO116" s="522"/>
      <c r="AP116" s="534"/>
      <c r="AQ116" s="616"/>
      <c r="AR116" s="616"/>
      <c r="AS116" s="534"/>
      <c r="AT116" s="616"/>
      <c r="AU116" s="607"/>
      <c r="AV116" s="607"/>
      <c r="AW116" s="534"/>
      <c r="AX116" s="616"/>
      <c r="AY116" s="616"/>
      <c r="AZ116" s="534"/>
      <c r="BA116" s="605"/>
      <c r="BB116" s="529"/>
      <c r="BC116" s="518"/>
      <c r="BD116" s="520"/>
      <c r="BE116" s="520"/>
      <c r="BF116" s="518"/>
      <c r="BG116" s="612"/>
      <c r="BH116" s="604"/>
      <c r="BI116" s="612"/>
      <c r="BJ116" s="518"/>
      <c r="BK116" s="520"/>
      <c r="BL116" s="520"/>
      <c r="BM116" s="518"/>
      <c r="BN116" s="605"/>
      <c r="BO116" s="533">
        <v>10</v>
      </c>
      <c r="BP116" s="532"/>
      <c r="BQ116" s="531" t="s">
        <v>2</v>
      </c>
      <c r="BR116" s="532"/>
      <c r="BS116" s="532"/>
      <c r="BT116" s="613">
        <f>SUM(BP$107:BS116)</f>
        <v>46</v>
      </c>
      <c r="BU116" s="614">
        <f t="shared" si="25"/>
        <v>16</v>
      </c>
      <c r="BV116" s="615">
        <f>SUM(BW$107:BZ116)</f>
        <v>30</v>
      </c>
      <c r="BW116" s="532"/>
      <c r="BX116" s="531">
        <v>5</v>
      </c>
      <c r="BY116" s="532"/>
      <c r="BZ116" s="532"/>
      <c r="CA116" s="605"/>
    </row>
    <row r="117" spans="1:79" ht="15">
      <c r="A117" s="1537"/>
      <c r="B117" s="522"/>
      <c r="C117" s="534"/>
      <c r="D117" s="616"/>
      <c r="E117" s="616"/>
      <c r="F117" s="534"/>
      <c r="G117" s="616"/>
      <c r="H117" s="607"/>
      <c r="I117" s="607"/>
      <c r="J117" s="534"/>
      <c r="K117" s="616"/>
      <c r="L117" s="616"/>
      <c r="M117" s="534"/>
      <c r="N117" s="604"/>
      <c r="O117" s="533">
        <v>11</v>
      </c>
      <c r="P117" s="531"/>
      <c r="Q117" s="532"/>
      <c r="R117" s="532" t="s">
        <v>2</v>
      </c>
      <c r="S117" s="600"/>
      <c r="T117" s="613">
        <f>SUM(P$107:S117)</f>
        <v>35</v>
      </c>
      <c r="U117" s="614">
        <f t="shared" si="22"/>
        <v>-10</v>
      </c>
      <c r="V117" s="615">
        <f>SUM(W$107:Z117)</f>
        <v>45</v>
      </c>
      <c r="W117" s="531"/>
      <c r="X117" s="532"/>
      <c r="Y117" s="644">
        <v>3</v>
      </c>
      <c r="Z117" s="600"/>
      <c r="AA117" s="604"/>
      <c r="AB117" s="522"/>
      <c r="AC117" s="534"/>
      <c r="AD117" s="616"/>
      <c r="AE117" s="616"/>
      <c r="AF117" s="534"/>
      <c r="AG117" s="616"/>
      <c r="AH117" s="607"/>
      <c r="AI117" s="607"/>
      <c r="AJ117" s="534"/>
      <c r="AK117" s="616"/>
      <c r="AL117" s="616"/>
      <c r="AM117" s="534"/>
      <c r="AN117" s="604"/>
      <c r="AO117" s="522"/>
      <c r="AP117" s="534"/>
      <c r="AQ117" s="616"/>
      <c r="AR117" s="616"/>
      <c r="AS117" s="534"/>
      <c r="AT117" s="616"/>
      <c r="AU117" s="607"/>
      <c r="AV117" s="607"/>
      <c r="AW117" s="534"/>
      <c r="AX117" s="616"/>
      <c r="AY117" s="616"/>
      <c r="AZ117" s="534"/>
      <c r="BA117" s="605"/>
      <c r="BB117" s="529"/>
      <c r="BC117" s="518"/>
      <c r="BD117" s="520"/>
      <c r="BE117" s="520"/>
      <c r="BF117" s="518"/>
      <c r="BG117" s="612"/>
      <c r="BH117" s="604"/>
      <c r="BI117" s="612"/>
      <c r="BJ117" s="518"/>
      <c r="BK117" s="520"/>
      <c r="BL117" s="520"/>
      <c r="BM117" s="518"/>
      <c r="BN117" s="605"/>
      <c r="BO117" s="533">
        <v>11</v>
      </c>
      <c r="BP117" s="531"/>
      <c r="BQ117" s="532"/>
      <c r="BR117" s="532">
        <v>2</v>
      </c>
      <c r="BS117" s="600"/>
      <c r="BT117" s="613">
        <f>SUM(BP$107:BS117)</f>
        <v>48</v>
      </c>
      <c r="BU117" s="614">
        <f t="shared" si="25"/>
        <v>16</v>
      </c>
      <c r="BV117" s="615">
        <f>SUM(BW$107:BZ117)</f>
        <v>32</v>
      </c>
      <c r="BW117" s="531"/>
      <c r="BX117" s="532"/>
      <c r="BY117" s="532">
        <v>2</v>
      </c>
      <c r="BZ117" s="600"/>
      <c r="CA117" s="605"/>
    </row>
    <row r="118" spans="1:79" ht="15">
      <c r="A118" s="1537"/>
      <c r="B118" s="522"/>
      <c r="C118" s="534"/>
      <c r="D118" s="616"/>
      <c r="E118" s="616"/>
      <c r="F118" s="534"/>
      <c r="G118" s="616"/>
      <c r="H118" s="607"/>
      <c r="I118" s="607"/>
      <c r="J118" s="534"/>
      <c r="K118" s="616"/>
      <c r="L118" s="616"/>
      <c r="M118" s="534"/>
      <c r="N118" s="604"/>
      <c r="O118" s="530">
        <v>12</v>
      </c>
      <c r="P118" s="532"/>
      <c r="Q118" s="531"/>
      <c r="R118" s="532"/>
      <c r="S118" s="532">
        <v>5</v>
      </c>
      <c r="T118" s="613">
        <f>SUM(P$107:S118)</f>
        <v>40</v>
      </c>
      <c r="U118" s="614">
        <f t="shared" si="22"/>
        <v>-7</v>
      </c>
      <c r="V118" s="615">
        <f>SUM(W$107:Z118)</f>
        <v>47</v>
      </c>
      <c r="W118" s="532"/>
      <c r="X118" s="531"/>
      <c r="Y118" s="532"/>
      <c r="Z118" s="532">
        <v>2</v>
      </c>
      <c r="AA118" s="604"/>
      <c r="AB118" s="522"/>
      <c r="AC118" s="534"/>
      <c r="AD118" s="616"/>
      <c r="AE118" s="616"/>
      <c r="AF118" s="534"/>
      <c r="AG118" s="616"/>
      <c r="AH118" s="607"/>
      <c r="AI118" s="607"/>
      <c r="AJ118" s="534"/>
      <c r="AK118" s="616"/>
      <c r="AL118" s="616"/>
      <c r="AM118" s="534"/>
      <c r="AN118" s="604"/>
      <c r="AO118" s="522"/>
      <c r="AP118" s="534"/>
      <c r="AQ118" s="616"/>
      <c r="AR118" s="616"/>
      <c r="AS118" s="534"/>
      <c r="AT118" s="616"/>
      <c r="AU118" s="607"/>
      <c r="AV118" s="607"/>
      <c r="AW118" s="534"/>
      <c r="AX118" s="616"/>
      <c r="AY118" s="616"/>
      <c r="AZ118" s="534"/>
      <c r="BA118" s="605"/>
      <c r="BB118" s="529"/>
      <c r="BC118" s="518"/>
      <c r="BD118" s="520"/>
      <c r="BE118" s="520"/>
      <c r="BF118" s="518"/>
      <c r="BG118" s="612"/>
      <c r="BH118" s="604"/>
      <c r="BI118" s="612"/>
      <c r="BJ118" s="518"/>
      <c r="BK118" s="520"/>
      <c r="BL118" s="520"/>
      <c r="BM118" s="518"/>
      <c r="BN118" s="605"/>
      <c r="BO118" s="530">
        <v>12</v>
      </c>
      <c r="BP118" s="532"/>
      <c r="BQ118" s="531"/>
      <c r="BR118" s="532"/>
      <c r="BS118" s="565">
        <v>2</v>
      </c>
      <c r="BT118" s="613">
        <f>SUM(BP$107:BS118)</f>
        <v>50</v>
      </c>
      <c r="BU118" s="614">
        <f t="shared" si="25"/>
        <v>18</v>
      </c>
      <c r="BV118" s="615">
        <f>SUM(BW$107:BZ118)</f>
        <v>32</v>
      </c>
      <c r="BW118" s="532"/>
      <c r="BX118" s="531"/>
      <c r="BY118" s="532"/>
      <c r="BZ118" s="532"/>
      <c r="CA118" s="605"/>
    </row>
    <row r="119" spans="1:79" ht="15">
      <c r="A119" s="1537"/>
      <c r="B119" s="522"/>
      <c r="C119" s="534"/>
      <c r="D119" s="616"/>
      <c r="E119" s="616"/>
      <c r="F119" s="534"/>
      <c r="G119" s="616"/>
      <c r="H119" s="607"/>
      <c r="I119" s="607"/>
      <c r="J119" s="534"/>
      <c r="K119" s="616"/>
      <c r="L119" s="616"/>
      <c r="M119" s="534"/>
      <c r="N119" s="604"/>
      <c r="O119" s="533">
        <v>13</v>
      </c>
      <c r="P119" s="531">
        <v>3</v>
      </c>
      <c r="Q119" s="532"/>
      <c r="R119" s="532"/>
      <c r="S119" s="600"/>
      <c r="T119" s="613">
        <f>SUM(P$107:S119)</f>
        <v>43</v>
      </c>
      <c r="U119" s="614">
        <f t="shared" si="22"/>
        <v>-7</v>
      </c>
      <c r="V119" s="615">
        <f>SUM(W$107:Z119)</f>
        <v>50</v>
      </c>
      <c r="W119" s="565">
        <v>3</v>
      </c>
      <c r="X119" s="532"/>
      <c r="Y119" s="532"/>
      <c r="Z119" s="600"/>
      <c r="AA119" s="604"/>
      <c r="AB119" s="522"/>
      <c r="AC119" s="534"/>
      <c r="AD119" s="616"/>
      <c r="AE119" s="616"/>
      <c r="AF119" s="534"/>
      <c r="AG119" s="616"/>
      <c r="AH119" s="607"/>
      <c r="AI119" s="607"/>
      <c r="AJ119" s="534"/>
      <c r="AK119" s="616"/>
      <c r="AL119" s="616"/>
      <c r="AM119" s="534"/>
      <c r="AN119" s="604"/>
      <c r="AO119" s="522"/>
      <c r="AP119" s="534"/>
      <c r="AQ119" s="616"/>
      <c r="AR119" s="616"/>
      <c r="AS119" s="534"/>
      <c r="AT119" s="616"/>
      <c r="AU119" s="607"/>
      <c r="AV119" s="607"/>
      <c r="AW119" s="534"/>
      <c r="AX119" s="616"/>
      <c r="AY119" s="616"/>
      <c r="AZ119" s="534"/>
      <c r="BA119" s="605"/>
      <c r="BB119" s="529"/>
      <c r="BC119" s="518"/>
      <c r="BD119" s="520"/>
      <c r="BE119" s="520"/>
      <c r="BF119" s="518"/>
      <c r="BG119" s="612"/>
      <c r="BH119" s="604"/>
      <c r="BI119" s="612"/>
      <c r="BJ119" s="518"/>
      <c r="BK119" s="520"/>
      <c r="BL119" s="520"/>
      <c r="BM119" s="518"/>
      <c r="BN119" s="605"/>
      <c r="BO119" s="522"/>
      <c r="BP119" s="534"/>
      <c r="BQ119" s="616"/>
      <c r="BR119" s="616"/>
      <c r="BS119" s="534"/>
      <c r="BT119" s="616"/>
      <c r="BU119" s="607"/>
      <c r="BV119" s="607"/>
      <c r="BW119" s="534"/>
      <c r="BX119" s="616"/>
      <c r="BY119" s="616"/>
      <c r="BZ119" s="534"/>
      <c r="CA119" s="605"/>
    </row>
    <row r="120" spans="1:79">
      <c r="A120" s="1537"/>
      <c r="B120" s="522"/>
      <c r="C120" s="534"/>
      <c r="D120" s="616"/>
      <c r="E120" s="616"/>
      <c r="F120" s="534"/>
      <c r="G120" s="616"/>
      <c r="H120" s="607"/>
      <c r="I120" s="607"/>
      <c r="J120" s="534"/>
      <c r="K120" s="616"/>
      <c r="L120" s="616"/>
      <c r="M120" s="534"/>
      <c r="N120" s="604"/>
      <c r="O120" s="522"/>
      <c r="P120" s="534"/>
      <c r="Q120" s="616"/>
      <c r="R120" s="616"/>
      <c r="S120" s="534"/>
      <c r="T120" s="616"/>
      <c r="U120" s="607"/>
      <c r="V120" s="607"/>
      <c r="W120" s="534"/>
      <c r="X120" s="616"/>
      <c r="Y120" s="616"/>
      <c r="Z120" s="534"/>
      <c r="AA120" s="604"/>
      <c r="AB120" s="522"/>
      <c r="AC120" s="534"/>
      <c r="AD120" s="616"/>
      <c r="AE120" s="616"/>
      <c r="AF120" s="534"/>
      <c r="AG120" s="616"/>
      <c r="AH120" s="607"/>
      <c r="AI120" s="607"/>
      <c r="AJ120" s="534"/>
      <c r="AK120" s="616"/>
      <c r="AL120" s="616"/>
      <c r="AM120" s="534"/>
      <c r="AN120" s="604"/>
      <c r="AO120" s="522"/>
      <c r="AP120" s="534"/>
      <c r="AQ120" s="616"/>
      <c r="AR120" s="616"/>
      <c r="AS120" s="534"/>
      <c r="AT120" s="616"/>
      <c r="AU120" s="607"/>
      <c r="AV120" s="607"/>
      <c r="AW120" s="534"/>
      <c r="AX120" s="616"/>
      <c r="AY120" s="616"/>
      <c r="AZ120" s="534"/>
      <c r="BA120" s="605"/>
      <c r="BB120" s="529"/>
      <c r="BC120" s="518"/>
      <c r="BD120" s="606"/>
      <c r="BE120" s="606"/>
      <c r="BF120" s="518"/>
      <c r="BG120" s="606"/>
      <c r="BH120" s="604"/>
      <c r="BI120" s="604"/>
      <c r="BJ120" s="518"/>
      <c r="BK120" s="606"/>
      <c r="BL120" s="606"/>
      <c r="BM120" s="518"/>
      <c r="BN120" s="605"/>
      <c r="BO120" s="522"/>
      <c r="BP120" s="534"/>
      <c r="BQ120" s="616"/>
      <c r="BR120" s="616"/>
      <c r="BS120" s="534"/>
      <c r="BT120" s="616"/>
      <c r="BU120" s="607"/>
      <c r="BV120" s="607"/>
      <c r="BW120" s="534"/>
      <c r="BX120" s="616"/>
      <c r="BY120" s="616"/>
      <c r="BZ120" s="534"/>
      <c r="CA120" s="605"/>
    </row>
    <row r="121" spans="1:79" ht="15">
      <c r="A121" s="1537"/>
      <c r="B121" s="539" t="s">
        <v>3</v>
      </c>
      <c r="C121" s="531">
        <f>SUM(C107:C120)</f>
        <v>14</v>
      </c>
      <c r="D121" s="531">
        <f>SUM(D107:D120)</f>
        <v>4</v>
      </c>
      <c r="E121" s="531">
        <f>SUM(E107:E120)</f>
        <v>4</v>
      </c>
      <c r="F121" s="531">
        <f>SUM(F107:F120)</f>
        <v>10</v>
      </c>
      <c r="G121" s="541">
        <f>SUM(C121:F121)</f>
        <v>32</v>
      </c>
      <c r="H121" s="607"/>
      <c r="I121" s="541">
        <f>SUM(J121:M121)</f>
        <v>50</v>
      </c>
      <c r="J121" s="531">
        <f>SUM(J107:J120)</f>
        <v>20</v>
      </c>
      <c r="K121" s="531">
        <f>SUM(K107:K120)</f>
        <v>17</v>
      </c>
      <c r="L121" s="531">
        <f>SUM(L107:L120)</f>
        <v>9</v>
      </c>
      <c r="M121" s="540">
        <f>SUM(M107:M120)</f>
        <v>4</v>
      </c>
      <c r="N121" s="604"/>
      <c r="O121" s="539" t="s">
        <v>3</v>
      </c>
      <c r="P121" s="531">
        <f>SUM(P107:P120)</f>
        <v>17</v>
      </c>
      <c r="Q121" s="531">
        <f>SUM(Q107:Q120)</f>
        <v>22</v>
      </c>
      <c r="R121" s="564">
        <f>SUM(R107:R120)</f>
        <v>-8</v>
      </c>
      <c r="S121" s="531">
        <f>SUM(S107:S120)</f>
        <v>12</v>
      </c>
      <c r="T121" s="541">
        <f>SUM(P121:S121)</f>
        <v>43</v>
      </c>
      <c r="U121" s="607"/>
      <c r="V121" s="541">
        <f>SUM(W121:Z121)</f>
        <v>50</v>
      </c>
      <c r="W121" s="531">
        <f>SUM(W107:W120)</f>
        <v>14</v>
      </c>
      <c r="X121" s="531">
        <f>SUM(X107:X120)</f>
        <v>11</v>
      </c>
      <c r="Y121" s="531">
        <f>SUM(Y107:Y120)</f>
        <v>16</v>
      </c>
      <c r="Z121" s="540">
        <f>SUM(Z107:Z120)</f>
        <v>9</v>
      </c>
      <c r="AA121" s="604"/>
      <c r="AB121" s="539" t="s">
        <v>3</v>
      </c>
      <c r="AC121" s="531">
        <f>SUM(AC107:AC120)</f>
        <v>15</v>
      </c>
      <c r="AD121" s="531">
        <f>SUM(AD107:AD120)</f>
        <v>19</v>
      </c>
      <c r="AE121" s="531">
        <f>SUM(AE107:AE120)</f>
        <v>9</v>
      </c>
      <c r="AF121" s="531">
        <f>SUM(AF107:AF120)</f>
        <v>7</v>
      </c>
      <c r="AG121" s="541">
        <f>SUM(AC121:AF121)</f>
        <v>50</v>
      </c>
      <c r="AH121" s="607"/>
      <c r="AI121" s="541">
        <f>SUM(AJ121:AM121)</f>
        <v>29</v>
      </c>
      <c r="AJ121" s="531">
        <f>SUM(AJ107:AJ120)</f>
        <v>21</v>
      </c>
      <c r="AK121" s="531">
        <f>SUM(AK107:AK120)</f>
        <v>0</v>
      </c>
      <c r="AL121" s="531">
        <f>SUM(AL107:AL120)</f>
        <v>6</v>
      </c>
      <c r="AM121" s="540">
        <f>SUM(AM107:AM120)</f>
        <v>2</v>
      </c>
      <c r="AN121" s="604"/>
      <c r="AO121" s="539" t="s">
        <v>3</v>
      </c>
      <c r="AP121" s="531">
        <f>SUM(AP107:AP120)</f>
        <v>8</v>
      </c>
      <c r="AQ121" s="531">
        <f>SUM(AQ107:AQ120)</f>
        <v>11</v>
      </c>
      <c r="AR121" s="531">
        <f>SUM(AR107:AR120)</f>
        <v>6</v>
      </c>
      <c r="AS121" s="531">
        <f>SUM(AS107:AS120)</f>
        <v>11</v>
      </c>
      <c r="AT121" s="541">
        <f>SUM(AP121:AS121)</f>
        <v>36</v>
      </c>
      <c r="AU121" s="607"/>
      <c r="AV121" s="541">
        <f>SUM(AW121:AZ121)</f>
        <v>50</v>
      </c>
      <c r="AW121" s="531">
        <f>SUM(AW107:AW120)</f>
        <v>23</v>
      </c>
      <c r="AX121" s="531">
        <f>SUM(AX107:AX120)</f>
        <v>2</v>
      </c>
      <c r="AY121" s="531">
        <f>SUM(AY107:AY120)</f>
        <v>11</v>
      </c>
      <c r="AZ121" s="540">
        <f>SUM(AZ107:AZ120)</f>
        <v>14</v>
      </c>
      <c r="BA121" s="605"/>
      <c r="BB121" s="536"/>
      <c r="BC121" s="518"/>
      <c r="BD121" s="518"/>
      <c r="BE121" s="518"/>
      <c r="BF121" s="518"/>
      <c r="BG121" s="537"/>
      <c r="BH121" s="604"/>
      <c r="BI121" s="537"/>
      <c r="BJ121" s="518"/>
      <c r="BK121" s="518"/>
      <c r="BL121" s="518"/>
      <c r="BM121" s="518"/>
      <c r="BN121" s="605"/>
      <c r="BO121" s="539" t="s">
        <v>3</v>
      </c>
      <c r="BP121" s="531">
        <f>SUM(BP107:BP120)</f>
        <v>9</v>
      </c>
      <c r="BQ121" s="531">
        <f>SUM(BQ107:BQ120)</f>
        <v>11</v>
      </c>
      <c r="BR121" s="531">
        <f>SUM(BR107:BR120)</f>
        <v>12</v>
      </c>
      <c r="BS121" s="531">
        <f>SUM(BS107:BS120)</f>
        <v>18</v>
      </c>
      <c r="BT121" s="541">
        <f>SUM(BP121:BS121)</f>
        <v>50</v>
      </c>
      <c r="BU121" s="607"/>
      <c r="BV121" s="541">
        <f>SUM(BW121:BZ121)</f>
        <v>32</v>
      </c>
      <c r="BW121" s="564">
        <f>SUM(BW107:BW120)</f>
        <v>0</v>
      </c>
      <c r="BX121" s="531">
        <f>SUM(BX107:BX120)</f>
        <v>16</v>
      </c>
      <c r="BY121" s="531">
        <f>SUM(BY107:BY120)</f>
        <v>16</v>
      </c>
      <c r="BZ121" s="540">
        <f>SUM(BZ107:BZ120)</f>
        <v>0</v>
      </c>
      <c r="CA121" s="605"/>
    </row>
    <row r="122" spans="1:79" ht="15">
      <c r="A122" s="1537"/>
      <c r="B122" s="542" t="s">
        <v>4</v>
      </c>
      <c r="C122" s="532">
        <f>COUNTA(C107:C120)</f>
        <v>3</v>
      </c>
      <c r="D122" s="532">
        <f>COUNTA(D107:D120)</f>
        <v>3</v>
      </c>
      <c r="E122" s="532">
        <f>COUNTA(E107:E120)</f>
        <v>2</v>
      </c>
      <c r="F122" s="532">
        <f>COUNTA(F107:F120)</f>
        <v>2</v>
      </c>
      <c r="G122" s="541">
        <f>SUM(C122:F122)</f>
        <v>10</v>
      </c>
      <c r="H122" s="607"/>
      <c r="I122" s="541">
        <f>SUM(J122:M122)</f>
        <v>10</v>
      </c>
      <c r="J122" s="532">
        <f>COUNTA(J107:J120)</f>
        <v>3</v>
      </c>
      <c r="K122" s="532">
        <f>COUNTA(K107:K120)</f>
        <v>3</v>
      </c>
      <c r="L122" s="532">
        <f>COUNTA(L107:L120)</f>
        <v>2</v>
      </c>
      <c r="M122" s="532">
        <f>COUNTA(M107:M120)</f>
        <v>2</v>
      </c>
      <c r="N122" s="604"/>
      <c r="O122" s="542" t="s">
        <v>4</v>
      </c>
      <c r="P122" s="532">
        <f>COUNTA(P107:P120)</f>
        <v>4</v>
      </c>
      <c r="Q122" s="532">
        <f>COUNTA(Q107:Q120)</f>
        <v>3</v>
      </c>
      <c r="R122" s="532">
        <f>COUNTA(R107:R120)</f>
        <v>3</v>
      </c>
      <c r="S122" s="532">
        <f>COUNTA(S107:S120)</f>
        <v>3</v>
      </c>
      <c r="T122" s="541">
        <f>SUM(P122:S122)</f>
        <v>13</v>
      </c>
      <c r="U122" s="607"/>
      <c r="V122" s="541">
        <f>SUM(W122:Z122)</f>
        <v>13</v>
      </c>
      <c r="W122" s="532">
        <f>COUNTA(W107:W120)</f>
        <v>4</v>
      </c>
      <c r="X122" s="532">
        <f>COUNTA(X107:X120)</f>
        <v>3</v>
      </c>
      <c r="Y122" s="532">
        <f>COUNTA(Y107:Y120)</f>
        <v>3</v>
      </c>
      <c r="Z122" s="532">
        <f>COUNTA(Z107:Z120)</f>
        <v>3</v>
      </c>
      <c r="AA122" s="604"/>
      <c r="AB122" s="542" t="s">
        <v>4</v>
      </c>
      <c r="AC122" s="532">
        <f>COUNTA(AC107:AC120)</f>
        <v>2</v>
      </c>
      <c r="AD122" s="532">
        <f>COUNTA(AD107:AD120)</f>
        <v>2</v>
      </c>
      <c r="AE122" s="532">
        <f>COUNTA(AE107:AE120)</f>
        <v>2</v>
      </c>
      <c r="AF122" s="532">
        <f>COUNTA(AF107:AF120)</f>
        <v>1</v>
      </c>
      <c r="AG122" s="541">
        <f>SUM(AC122:AF122)</f>
        <v>7</v>
      </c>
      <c r="AH122" s="607"/>
      <c r="AI122" s="541">
        <f>SUM(AJ122:AM122)</f>
        <v>6</v>
      </c>
      <c r="AJ122" s="532">
        <f>COUNTA(AJ107:AJ120)</f>
        <v>2</v>
      </c>
      <c r="AK122" s="532">
        <f>COUNTA(AK107:AK120)</f>
        <v>2</v>
      </c>
      <c r="AL122" s="532">
        <f>COUNTA(AL107:AL120)</f>
        <v>1</v>
      </c>
      <c r="AM122" s="532">
        <f>COUNTA(AM107:AM120)</f>
        <v>1</v>
      </c>
      <c r="AN122" s="604"/>
      <c r="AO122" s="542" t="s">
        <v>4</v>
      </c>
      <c r="AP122" s="532">
        <f>COUNTA(AP107:AP120)</f>
        <v>3</v>
      </c>
      <c r="AQ122" s="532">
        <f>COUNTA(AQ107:AQ120)</f>
        <v>2</v>
      </c>
      <c r="AR122" s="532">
        <f>COUNTA(AR107:AR120)</f>
        <v>2</v>
      </c>
      <c r="AS122" s="532">
        <f>COUNTA(AS107:AS120)</f>
        <v>2</v>
      </c>
      <c r="AT122" s="541">
        <f>SUM(AP122:AS122)</f>
        <v>9</v>
      </c>
      <c r="AU122" s="607"/>
      <c r="AV122" s="541">
        <f>SUM(AW122:AZ122)</f>
        <v>9</v>
      </c>
      <c r="AW122" s="532">
        <f>COUNTA(AW107:AW120)</f>
        <v>3</v>
      </c>
      <c r="AX122" s="532">
        <f>COUNTA(AX107:AX120)</f>
        <v>2</v>
      </c>
      <c r="AY122" s="532">
        <f>COUNTA(AY107:AY120)</f>
        <v>2</v>
      </c>
      <c r="AZ122" s="532">
        <f>COUNTA(AZ107:AZ120)</f>
        <v>2</v>
      </c>
      <c r="BA122" s="605"/>
      <c r="BB122" s="536"/>
      <c r="BC122" s="538"/>
      <c r="BD122" s="538"/>
      <c r="BE122" s="538"/>
      <c r="BF122" s="538"/>
      <c r="BG122" s="537"/>
      <c r="BH122" s="604"/>
      <c r="BI122" s="537"/>
      <c r="BJ122" s="520"/>
      <c r="BK122" s="520"/>
      <c r="BL122" s="520"/>
      <c r="BM122" s="520"/>
      <c r="BN122" s="605"/>
      <c r="BO122" s="542" t="s">
        <v>4</v>
      </c>
      <c r="BP122" s="532">
        <f>COUNTA(BP107:BP120)</f>
        <v>3</v>
      </c>
      <c r="BQ122" s="532">
        <f>COUNTA(BQ107:BQ120)</f>
        <v>3</v>
      </c>
      <c r="BR122" s="532">
        <f>COUNTA(BR107:BR120)</f>
        <v>3</v>
      </c>
      <c r="BS122" s="532">
        <f>COUNTA(BS107:BS120)</f>
        <v>3</v>
      </c>
      <c r="BT122" s="541">
        <f>SUM(BP122:BS122)</f>
        <v>12</v>
      </c>
      <c r="BU122" s="607"/>
      <c r="BV122" s="541">
        <f>SUM(BW122:BZ122)</f>
        <v>11</v>
      </c>
      <c r="BW122" s="532">
        <f>COUNTA(BW107:BW120)</f>
        <v>3</v>
      </c>
      <c r="BX122" s="532">
        <f>COUNTA(BX107:BX120)</f>
        <v>3</v>
      </c>
      <c r="BY122" s="532">
        <f>COUNTA(BY107:BY120)</f>
        <v>3</v>
      </c>
      <c r="BZ122" s="532">
        <f>COUNTA(BZ107:BZ120)</f>
        <v>2</v>
      </c>
      <c r="CA122" s="605"/>
    </row>
    <row r="123" spans="1:79" ht="15">
      <c r="A123" s="1537"/>
      <c r="B123" s="539" t="s">
        <v>6</v>
      </c>
      <c r="C123" s="531">
        <f>C122-COUNT(C107:C120)</f>
        <v>1</v>
      </c>
      <c r="D123" s="531">
        <f>D122-COUNT(D107:D120)</f>
        <v>1</v>
      </c>
      <c r="E123" s="531">
        <f>E122-COUNT(E107:E120)</f>
        <v>1</v>
      </c>
      <c r="F123" s="531">
        <f>F122-COUNT(F107:F120)</f>
        <v>0</v>
      </c>
      <c r="G123" s="541">
        <f>SUM(C123:F123)</f>
        <v>3</v>
      </c>
      <c r="H123" s="607"/>
      <c r="I123" s="541">
        <f>SUM(J123:M123)</f>
        <v>2</v>
      </c>
      <c r="J123" s="531">
        <f>J122-COUNT(J107:J120)</f>
        <v>1</v>
      </c>
      <c r="K123" s="540">
        <f>K122-COUNT(K107:K120)</f>
        <v>1</v>
      </c>
      <c r="L123" s="540">
        <f>L122-COUNT(L107:L120)</f>
        <v>0</v>
      </c>
      <c r="M123" s="531">
        <f>M122-COUNT(M107:M120)</f>
        <v>0</v>
      </c>
      <c r="N123" s="604"/>
      <c r="O123" s="539" t="s">
        <v>6</v>
      </c>
      <c r="P123" s="531">
        <f>P122-COUNT(P107:P120)</f>
        <v>1</v>
      </c>
      <c r="Q123" s="531">
        <f>Q122-COUNT(Q107:Q120)</f>
        <v>0</v>
      </c>
      <c r="R123" s="531">
        <f>R122-COUNT(R107:R120)</f>
        <v>1</v>
      </c>
      <c r="S123" s="531">
        <f>S122-COUNT(S107:S120)</f>
        <v>0</v>
      </c>
      <c r="T123" s="541">
        <f>SUM(P123:S123)</f>
        <v>2</v>
      </c>
      <c r="U123" s="607"/>
      <c r="V123" s="541">
        <f>SUM(W123:Z123)</f>
        <v>5</v>
      </c>
      <c r="W123" s="531">
        <f>W122-COUNT(W107:W120)</f>
        <v>2</v>
      </c>
      <c r="X123" s="540">
        <f>X122-COUNT(X107:X120)</f>
        <v>2</v>
      </c>
      <c r="Y123" s="540">
        <f>Y122-COUNT(Y107:Y120)</f>
        <v>0</v>
      </c>
      <c r="Z123" s="531">
        <f>Z122-COUNT(Z107:Z120)</f>
        <v>1</v>
      </c>
      <c r="AA123" s="604"/>
      <c r="AB123" s="539" t="s">
        <v>6</v>
      </c>
      <c r="AC123" s="531">
        <f>AC122-COUNT(AC107:AC120)</f>
        <v>0</v>
      </c>
      <c r="AD123" s="531">
        <f>AD122-COUNT(AD107:AD120)</f>
        <v>0</v>
      </c>
      <c r="AE123" s="531">
        <f>AE122-COUNT(AE107:AE120)</f>
        <v>0</v>
      </c>
      <c r="AF123" s="531">
        <f>AF122-COUNT(AF107:AF120)</f>
        <v>0</v>
      </c>
      <c r="AG123" s="541">
        <f>SUM(AC123:AF123)</f>
        <v>0</v>
      </c>
      <c r="AH123" s="607"/>
      <c r="AI123" s="541">
        <f>SUM(AJ123:AM123)</f>
        <v>2</v>
      </c>
      <c r="AJ123" s="531">
        <f>AJ122-COUNT(AJ107:AJ120)</f>
        <v>0</v>
      </c>
      <c r="AK123" s="540">
        <f>AK122-COUNT(AK107:AK120)</f>
        <v>2</v>
      </c>
      <c r="AL123" s="540">
        <f>AL122-COUNT(AL107:AL120)</f>
        <v>0</v>
      </c>
      <c r="AM123" s="531">
        <f>AM122-COUNT(AM107:AM120)</f>
        <v>0</v>
      </c>
      <c r="AN123" s="604"/>
      <c r="AO123" s="539" t="s">
        <v>6</v>
      </c>
      <c r="AP123" s="531">
        <f>AP122-COUNT(AP107:AP120)</f>
        <v>1</v>
      </c>
      <c r="AQ123" s="531">
        <f>AQ122-COUNT(AQ107:AQ120)</f>
        <v>0</v>
      </c>
      <c r="AR123" s="531">
        <f>AR122-COUNT(AR107:AR120)</f>
        <v>1</v>
      </c>
      <c r="AS123" s="531">
        <f>AS122-COUNT(AS107:AS120)</f>
        <v>1</v>
      </c>
      <c r="AT123" s="541">
        <f>SUM(AP123:AS123)</f>
        <v>3</v>
      </c>
      <c r="AU123" s="607"/>
      <c r="AV123" s="541">
        <f>SUM(AW123:AZ123)</f>
        <v>2</v>
      </c>
      <c r="AW123" s="531">
        <f>AW122-COUNT(AW107:AW120)</f>
        <v>0</v>
      </c>
      <c r="AX123" s="540">
        <f>AX122-COUNT(AX107:AX120)</f>
        <v>1</v>
      </c>
      <c r="AY123" s="540">
        <f>AY122-COUNT(AY107:AY120)</f>
        <v>1</v>
      </c>
      <c r="AZ123" s="531">
        <f>AZ122-COUNT(AZ107:AZ120)</f>
        <v>0</v>
      </c>
      <c r="BA123" s="605"/>
      <c r="BB123" s="536"/>
      <c r="BC123" s="543"/>
      <c r="BD123" s="545"/>
      <c r="BE123" s="545"/>
      <c r="BF123" s="545"/>
      <c r="BG123" s="544"/>
      <c r="BH123" s="604"/>
      <c r="BI123" s="544"/>
      <c r="BJ123" s="543"/>
      <c r="BK123" s="543"/>
      <c r="BL123" s="543"/>
      <c r="BM123" s="543"/>
      <c r="BN123" s="605"/>
      <c r="BO123" s="539" t="s">
        <v>6</v>
      </c>
      <c r="BP123" s="531">
        <f>BP122-COUNT(BP107:BP120)</f>
        <v>2</v>
      </c>
      <c r="BQ123" s="531">
        <f>BQ122-COUNT(BQ107:BQ120)</f>
        <v>1</v>
      </c>
      <c r="BR123" s="531">
        <f>BR122-COUNT(BR107:BR120)</f>
        <v>0</v>
      </c>
      <c r="BS123" s="531">
        <f>BS122-COUNT(BS107:BS120)</f>
        <v>0</v>
      </c>
      <c r="BT123" s="541">
        <f>SUM(BP123:BS123)</f>
        <v>3</v>
      </c>
      <c r="BU123" s="607"/>
      <c r="BV123" s="541">
        <f>SUM(BW123:BZ123)</f>
        <v>2</v>
      </c>
      <c r="BW123" s="531">
        <f>BW122-COUNT(BW107:BW120)</f>
        <v>0</v>
      </c>
      <c r="BX123" s="540">
        <f>BX122-COUNT(BX107:BX120)</f>
        <v>0</v>
      </c>
      <c r="BY123" s="540">
        <f>BY122-COUNT(BY107:BY120)</f>
        <v>0</v>
      </c>
      <c r="BZ123" s="531">
        <f>BZ122-COUNT(BZ107:BZ120)</f>
        <v>2</v>
      </c>
      <c r="CA123" s="605"/>
    </row>
    <row r="124" spans="1:79" ht="15">
      <c r="A124" s="1537"/>
      <c r="B124" s="539" t="s">
        <v>12</v>
      </c>
      <c r="C124" s="549">
        <f>C123/C122</f>
        <v>0.33333333333333331</v>
      </c>
      <c r="D124" s="546">
        <f>D123/D122</f>
        <v>0.33333333333333331</v>
      </c>
      <c r="E124" s="546">
        <f>E123/E122</f>
        <v>0.5</v>
      </c>
      <c r="F124" s="546">
        <f>F123/F122</f>
        <v>0</v>
      </c>
      <c r="G124" s="548">
        <f>G123/G122</f>
        <v>0.3</v>
      </c>
      <c r="H124" s="607"/>
      <c r="I124" s="548">
        <f>I123/I122</f>
        <v>0.2</v>
      </c>
      <c r="J124" s="546">
        <f>J123/J122</f>
        <v>0.33333333333333331</v>
      </c>
      <c r="K124" s="547">
        <f>K123/K122</f>
        <v>0.33333333333333331</v>
      </c>
      <c r="L124" s="547">
        <f>L123/L122</f>
        <v>0</v>
      </c>
      <c r="M124" s="546">
        <f>M123/M122</f>
        <v>0</v>
      </c>
      <c r="N124" s="604"/>
      <c r="O124" s="539" t="s">
        <v>12</v>
      </c>
      <c r="P124" s="549">
        <f>P123/P122</f>
        <v>0.25</v>
      </c>
      <c r="Q124" s="546">
        <f>Q123/Q122</f>
        <v>0</v>
      </c>
      <c r="R124" s="546">
        <f>R123/R122</f>
        <v>0.33333333333333331</v>
      </c>
      <c r="S124" s="546">
        <f>S123/S122</f>
        <v>0</v>
      </c>
      <c r="T124" s="548">
        <f>T123/T122</f>
        <v>0.15384615384615385</v>
      </c>
      <c r="U124" s="607"/>
      <c r="V124" s="548">
        <f>V123/V122</f>
        <v>0.38461538461538464</v>
      </c>
      <c r="W124" s="546">
        <f>W123/W122</f>
        <v>0.5</v>
      </c>
      <c r="X124" s="547">
        <f>X123/X122</f>
        <v>0.66666666666666663</v>
      </c>
      <c r="Y124" s="547">
        <f>Y123/Y122</f>
        <v>0</v>
      </c>
      <c r="Z124" s="546">
        <f>Z123/Z122</f>
        <v>0.33333333333333331</v>
      </c>
      <c r="AA124" s="604"/>
      <c r="AB124" s="539" t="s">
        <v>12</v>
      </c>
      <c r="AC124" s="549">
        <f>AC123/AC122</f>
        <v>0</v>
      </c>
      <c r="AD124" s="546">
        <f>AD123/AD122</f>
        <v>0</v>
      </c>
      <c r="AE124" s="546">
        <f>AE123/AE122</f>
        <v>0</v>
      </c>
      <c r="AF124" s="546">
        <f>AF123/AF122</f>
        <v>0</v>
      </c>
      <c r="AG124" s="548">
        <f>AG123/AG122</f>
        <v>0</v>
      </c>
      <c r="AH124" s="607"/>
      <c r="AI124" s="548">
        <f>AI123/AI122</f>
        <v>0.33333333333333331</v>
      </c>
      <c r="AJ124" s="546">
        <f>AJ123/AJ122</f>
        <v>0</v>
      </c>
      <c r="AK124" s="547">
        <f>AK123/AK122</f>
        <v>1</v>
      </c>
      <c r="AL124" s="547">
        <f>AL123/AL122</f>
        <v>0</v>
      </c>
      <c r="AM124" s="546">
        <f>AM123/AM122</f>
        <v>0</v>
      </c>
      <c r="AN124" s="604"/>
      <c r="AO124" s="539" t="s">
        <v>12</v>
      </c>
      <c r="AP124" s="549">
        <f>AP123/AP122</f>
        <v>0.33333333333333331</v>
      </c>
      <c r="AQ124" s="546">
        <f>AQ123/AQ122</f>
        <v>0</v>
      </c>
      <c r="AR124" s="546">
        <f>AR123/AR122</f>
        <v>0.5</v>
      </c>
      <c r="AS124" s="546">
        <f>AS123/AS122</f>
        <v>0.5</v>
      </c>
      <c r="AT124" s="548">
        <f>AT123/AT122</f>
        <v>0.33333333333333331</v>
      </c>
      <c r="AU124" s="607"/>
      <c r="AV124" s="548">
        <f>AV123/AV122</f>
        <v>0.22222222222222221</v>
      </c>
      <c r="AW124" s="546">
        <f>AW123/AW122</f>
        <v>0</v>
      </c>
      <c r="AX124" s="547">
        <f>AX123/AX122</f>
        <v>0.5</v>
      </c>
      <c r="AY124" s="547">
        <f>AY123/AY122</f>
        <v>0.5</v>
      </c>
      <c r="AZ124" s="546">
        <f>AZ123/AZ122</f>
        <v>0</v>
      </c>
      <c r="BA124" s="605"/>
      <c r="BB124" s="536"/>
      <c r="BC124" s="550"/>
      <c r="BD124" s="552"/>
      <c r="BE124" s="552"/>
      <c r="BF124" s="550"/>
      <c r="BG124" s="551"/>
      <c r="BH124" s="604"/>
      <c r="BI124" s="551"/>
      <c r="BJ124" s="550"/>
      <c r="BK124" s="550"/>
      <c r="BL124" s="550"/>
      <c r="BM124" s="550"/>
      <c r="BN124" s="605"/>
      <c r="BO124" s="539" t="s">
        <v>12</v>
      </c>
      <c r="BP124" s="549">
        <f>BP123/BP122</f>
        <v>0.66666666666666663</v>
      </c>
      <c r="BQ124" s="546">
        <f>BQ123/BQ122</f>
        <v>0.33333333333333331</v>
      </c>
      <c r="BR124" s="546">
        <f>BR123/BR122</f>
        <v>0</v>
      </c>
      <c r="BS124" s="546">
        <f>BS123/BS122</f>
        <v>0</v>
      </c>
      <c r="BT124" s="548">
        <f>BT123/BT122</f>
        <v>0.25</v>
      </c>
      <c r="BU124" s="607"/>
      <c r="BV124" s="548">
        <f>BV123/BV122</f>
        <v>0.18181818181818182</v>
      </c>
      <c r="BW124" s="546">
        <f>BW123/BW122</f>
        <v>0</v>
      </c>
      <c r="BX124" s="547">
        <f>BX123/BX122</f>
        <v>0</v>
      </c>
      <c r="BY124" s="547">
        <f>BY123/BY122</f>
        <v>0</v>
      </c>
      <c r="BZ124" s="546">
        <f>BZ123/BZ122</f>
        <v>1</v>
      </c>
      <c r="CA124" s="605"/>
    </row>
    <row r="125" spans="1:79" ht="15">
      <c r="A125" s="1537"/>
      <c r="B125" s="539" t="s">
        <v>5</v>
      </c>
      <c r="C125" s="553">
        <f>C121/C122</f>
        <v>4.666666666666667</v>
      </c>
      <c r="D125" s="553">
        <f>D121/D122</f>
        <v>1.3333333333333333</v>
      </c>
      <c r="E125" s="553">
        <f>E121/E122</f>
        <v>2</v>
      </c>
      <c r="F125" s="553">
        <f>F121/F122</f>
        <v>5</v>
      </c>
      <c r="G125" s="555">
        <f>G121/G122</f>
        <v>3.2</v>
      </c>
      <c r="H125" s="607"/>
      <c r="I125" s="555">
        <f>I121/I122</f>
        <v>5</v>
      </c>
      <c r="J125" s="553">
        <f>J121/J122</f>
        <v>6.666666666666667</v>
      </c>
      <c r="K125" s="553">
        <f>K121/K122</f>
        <v>5.666666666666667</v>
      </c>
      <c r="L125" s="553">
        <f>L121/L122</f>
        <v>4.5</v>
      </c>
      <c r="M125" s="554">
        <f>M121/M122</f>
        <v>2</v>
      </c>
      <c r="N125" s="604"/>
      <c r="O125" s="539" t="s">
        <v>5</v>
      </c>
      <c r="P125" s="553">
        <f>P121/P122</f>
        <v>4.25</v>
      </c>
      <c r="Q125" s="553">
        <f>Q121/Q122</f>
        <v>7.333333333333333</v>
      </c>
      <c r="R125" s="553">
        <f>R121/R122</f>
        <v>-2.6666666666666665</v>
      </c>
      <c r="S125" s="553">
        <f>S121/S122</f>
        <v>4</v>
      </c>
      <c r="T125" s="555">
        <f>T121/T122</f>
        <v>3.3076923076923075</v>
      </c>
      <c r="U125" s="607"/>
      <c r="V125" s="555">
        <f>V121/V122</f>
        <v>3.8461538461538463</v>
      </c>
      <c r="W125" s="553">
        <f>W121/W122</f>
        <v>3.5</v>
      </c>
      <c r="X125" s="553">
        <f>X121/X122</f>
        <v>3.6666666666666665</v>
      </c>
      <c r="Y125" s="553">
        <f>Y121/Y122</f>
        <v>5.333333333333333</v>
      </c>
      <c r="Z125" s="554">
        <f>Z121/Z122</f>
        <v>3</v>
      </c>
      <c r="AA125" s="604"/>
      <c r="AB125" s="539" t="s">
        <v>5</v>
      </c>
      <c r="AC125" s="553">
        <f>AC121/AC122</f>
        <v>7.5</v>
      </c>
      <c r="AD125" s="553">
        <f>AD121/AD122</f>
        <v>9.5</v>
      </c>
      <c r="AE125" s="553">
        <f>AE121/AE122</f>
        <v>4.5</v>
      </c>
      <c r="AF125" s="553">
        <f>AF121/AF122</f>
        <v>7</v>
      </c>
      <c r="AG125" s="555">
        <f>AG121/AG122</f>
        <v>7.1428571428571432</v>
      </c>
      <c r="AH125" s="607"/>
      <c r="AI125" s="555">
        <f>AI121/AI122</f>
        <v>4.833333333333333</v>
      </c>
      <c r="AJ125" s="553">
        <f>AJ121/AJ122</f>
        <v>10.5</v>
      </c>
      <c r="AK125" s="553">
        <f>AK121/AK122</f>
        <v>0</v>
      </c>
      <c r="AL125" s="553">
        <f>AL121/AL122</f>
        <v>6</v>
      </c>
      <c r="AM125" s="554">
        <f>AM121/AM122</f>
        <v>2</v>
      </c>
      <c r="AN125" s="604"/>
      <c r="AO125" s="539" t="s">
        <v>5</v>
      </c>
      <c r="AP125" s="553">
        <f>AP121/AP122</f>
        <v>2.6666666666666665</v>
      </c>
      <c r="AQ125" s="553">
        <f>AQ121/AQ122</f>
        <v>5.5</v>
      </c>
      <c r="AR125" s="553">
        <f>AR121/AR122</f>
        <v>3</v>
      </c>
      <c r="AS125" s="553">
        <f>AS121/AS122</f>
        <v>5.5</v>
      </c>
      <c r="AT125" s="555">
        <f>AT121/AT122</f>
        <v>4</v>
      </c>
      <c r="AU125" s="607"/>
      <c r="AV125" s="555">
        <f>AV121/AV122</f>
        <v>5.5555555555555554</v>
      </c>
      <c r="AW125" s="553">
        <f>AW121/AW122</f>
        <v>7.666666666666667</v>
      </c>
      <c r="AX125" s="553">
        <f>AX121/AX122</f>
        <v>1</v>
      </c>
      <c r="AY125" s="553">
        <f>AY121/AY122</f>
        <v>5.5</v>
      </c>
      <c r="AZ125" s="554">
        <f>AZ121/AZ122</f>
        <v>7</v>
      </c>
      <c r="BA125" s="605"/>
      <c r="BB125" s="536"/>
      <c r="BC125" s="550"/>
      <c r="BD125" s="552"/>
      <c r="BE125" s="552"/>
      <c r="BF125" s="556"/>
      <c r="BG125" s="557"/>
      <c r="BH125" s="604"/>
      <c r="BI125" s="557"/>
      <c r="BJ125" s="556"/>
      <c r="BK125" s="556"/>
      <c r="BL125" s="556"/>
      <c r="BM125" s="556"/>
      <c r="BN125" s="605"/>
      <c r="BO125" s="539" t="s">
        <v>5</v>
      </c>
      <c r="BP125" s="553">
        <f>BP121/BP122</f>
        <v>3</v>
      </c>
      <c r="BQ125" s="553">
        <f>BQ121/BQ122</f>
        <v>3.6666666666666665</v>
      </c>
      <c r="BR125" s="553">
        <f>BR121/BR122</f>
        <v>4</v>
      </c>
      <c r="BS125" s="553">
        <f>BS121/BS122</f>
        <v>6</v>
      </c>
      <c r="BT125" s="555">
        <f>BT121/BT122</f>
        <v>4.166666666666667</v>
      </c>
      <c r="BU125" s="607"/>
      <c r="BV125" s="555">
        <f>BV121/BV122</f>
        <v>2.9090909090909092</v>
      </c>
      <c r="BW125" s="553">
        <f>BW121/BW122</f>
        <v>0</v>
      </c>
      <c r="BX125" s="553">
        <f>BX121/BX122</f>
        <v>5.333333333333333</v>
      </c>
      <c r="BY125" s="553">
        <f>BY121/BY122</f>
        <v>5.333333333333333</v>
      </c>
      <c r="BZ125" s="554">
        <f>BZ121/BZ122</f>
        <v>0</v>
      </c>
      <c r="CA125" s="605"/>
    </row>
    <row r="126" spans="1:79" ht="15">
      <c r="A126" s="1537"/>
      <c r="B126" s="539" t="s">
        <v>8</v>
      </c>
      <c r="C126" s="558">
        <f>C121/(C122-C123)</f>
        <v>7</v>
      </c>
      <c r="D126" s="558">
        <f>D121/(D122-D123)</f>
        <v>2</v>
      </c>
      <c r="E126" s="558">
        <f>E121/(E122-E123)</f>
        <v>4</v>
      </c>
      <c r="F126" s="558">
        <f>F121/(F122-F123)</f>
        <v>5</v>
      </c>
      <c r="G126" s="559">
        <f>G121/(G122-G123)</f>
        <v>4.5714285714285712</v>
      </c>
      <c r="H126" s="607"/>
      <c r="I126" s="559">
        <f>I121/(I122-I123)</f>
        <v>6.25</v>
      </c>
      <c r="J126" s="558">
        <f>J121/(J122-J123)</f>
        <v>10</v>
      </c>
      <c r="K126" s="553">
        <f>K121/(K122-K123)</f>
        <v>8.5</v>
      </c>
      <c r="L126" s="553">
        <f>L121/(L122-L123)</f>
        <v>4.5</v>
      </c>
      <c r="M126" s="554">
        <f>M121/(M122-M123)</f>
        <v>2</v>
      </c>
      <c r="N126" s="604"/>
      <c r="O126" s="539" t="s">
        <v>8</v>
      </c>
      <c r="P126" s="558">
        <f>P121/(P122-P123)</f>
        <v>5.666666666666667</v>
      </c>
      <c r="Q126" s="558">
        <f>Q121/(Q122-Q123)</f>
        <v>7.333333333333333</v>
      </c>
      <c r="R126" s="558">
        <f>R121/(R122-R123)</f>
        <v>-4</v>
      </c>
      <c r="S126" s="558">
        <f>S121/(S122-S123)</f>
        <v>4</v>
      </c>
      <c r="T126" s="559">
        <f>T121/(T122-T123)</f>
        <v>3.9090909090909092</v>
      </c>
      <c r="U126" s="607"/>
      <c r="V126" s="559">
        <f>V121/(V122-V123)</f>
        <v>6.25</v>
      </c>
      <c r="W126" s="558">
        <f>W121/(W122-W123)</f>
        <v>7</v>
      </c>
      <c r="X126" s="553">
        <f>X121/(X122-X123)</f>
        <v>11</v>
      </c>
      <c r="Y126" s="553">
        <f>Y121/(Y122-Y123)</f>
        <v>5.333333333333333</v>
      </c>
      <c r="Z126" s="554">
        <f>Z121/(Z122-Z123)</f>
        <v>4.5</v>
      </c>
      <c r="AA126" s="604"/>
      <c r="AB126" s="539" t="s">
        <v>8</v>
      </c>
      <c r="AC126" s="558">
        <f>AC121/(AC122-AC123)</f>
        <v>7.5</v>
      </c>
      <c r="AD126" s="558">
        <f>AD121/(AD122-AD123)</f>
        <v>9.5</v>
      </c>
      <c r="AE126" s="558">
        <f>AE121/(AE122-AE123)</f>
        <v>4.5</v>
      </c>
      <c r="AF126" s="558">
        <f>AF121/(AF122-AF123)</f>
        <v>7</v>
      </c>
      <c r="AG126" s="559">
        <f>AG121/(AG122-AG123)</f>
        <v>7.1428571428571432</v>
      </c>
      <c r="AH126" s="607"/>
      <c r="AI126" s="559">
        <f>AI121/(AI122-AI123)</f>
        <v>7.25</v>
      </c>
      <c r="AJ126" s="558">
        <f>AJ121/(AJ122-AJ123)</f>
        <v>10.5</v>
      </c>
      <c r="AK126" s="662">
        <v>0</v>
      </c>
      <c r="AL126" s="553">
        <f>AL121/(AL122-AL123)</f>
        <v>6</v>
      </c>
      <c r="AM126" s="554">
        <f>AM121/(AM122-AM123)</f>
        <v>2</v>
      </c>
      <c r="AN126" s="604"/>
      <c r="AO126" s="539" t="s">
        <v>8</v>
      </c>
      <c r="AP126" s="558">
        <f>AP121/(AP122-AP123)</f>
        <v>4</v>
      </c>
      <c r="AQ126" s="558">
        <f>AQ121/(AQ122-AQ123)</f>
        <v>5.5</v>
      </c>
      <c r="AR126" s="558">
        <f>AR121/(AR122-AR123)</f>
        <v>6</v>
      </c>
      <c r="AS126" s="558">
        <f>AS121/(AS122-AS123)</f>
        <v>11</v>
      </c>
      <c r="AT126" s="559">
        <f>AT121/(AT122-AT123)</f>
        <v>6</v>
      </c>
      <c r="AU126" s="607"/>
      <c r="AV126" s="559">
        <f>AV121/(AV122-AV123)</f>
        <v>7.1428571428571432</v>
      </c>
      <c r="AW126" s="558">
        <f>AW121/(AW122-AW123)</f>
        <v>7.666666666666667</v>
      </c>
      <c r="AX126" s="553">
        <f>AX121/(AX122-AX123)</f>
        <v>2</v>
      </c>
      <c r="AY126" s="553">
        <f>AY121/(AY122-AY123)</f>
        <v>11</v>
      </c>
      <c r="AZ126" s="554">
        <f>AZ121/(AZ122-AZ123)</f>
        <v>7</v>
      </c>
      <c r="BA126" s="605"/>
      <c r="BB126" s="604"/>
      <c r="BC126" s="604"/>
      <c r="BD126" s="604"/>
      <c r="BE126" s="604"/>
      <c r="BF126" s="604"/>
      <c r="BG126" s="604"/>
      <c r="BH126" s="604"/>
      <c r="BI126" s="604"/>
      <c r="BJ126" s="604"/>
      <c r="BK126" s="604"/>
      <c r="BL126" s="604"/>
      <c r="BM126" s="604"/>
      <c r="BN126" s="605"/>
      <c r="BO126" s="539" t="s">
        <v>8</v>
      </c>
      <c r="BP126" s="558">
        <f>BP121/(BP122-BP123)</f>
        <v>9</v>
      </c>
      <c r="BQ126" s="558">
        <f>BQ121/(BQ122-BQ123)</f>
        <v>5.5</v>
      </c>
      <c r="BR126" s="558">
        <f>BR121/(BR122-BR123)</f>
        <v>4</v>
      </c>
      <c r="BS126" s="558">
        <f>BS121/(BS122-BS123)</f>
        <v>6</v>
      </c>
      <c r="BT126" s="559">
        <f>BT121/(BT122-BT123)</f>
        <v>5.5555555555555554</v>
      </c>
      <c r="BU126" s="607"/>
      <c r="BV126" s="559">
        <f>BV121/(BV122-BV123)</f>
        <v>3.5555555555555554</v>
      </c>
      <c r="BW126" s="558">
        <f>BW121/(BW122-BW123)</f>
        <v>0</v>
      </c>
      <c r="BX126" s="553">
        <f>BX121/(BX122-BX123)</f>
        <v>5.333333333333333</v>
      </c>
      <c r="BY126" s="553">
        <f>BY121/(BY122-BY123)</f>
        <v>5.333333333333333</v>
      </c>
      <c r="BZ126" s="671">
        <v>0</v>
      </c>
      <c r="CA126" s="605"/>
    </row>
    <row r="127" spans="1:79" ht="15">
      <c r="A127" s="617"/>
      <c r="B127" s="529"/>
      <c r="C127" s="518"/>
      <c r="D127" s="518"/>
      <c r="E127" s="518"/>
      <c r="F127" s="518"/>
      <c r="G127" s="606"/>
      <c r="H127" s="604"/>
      <c r="I127" s="604"/>
      <c r="J127" s="604"/>
      <c r="K127" s="604"/>
      <c r="L127" s="604"/>
      <c r="M127" s="604"/>
      <c r="N127" s="604"/>
      <c r="O127" s="529"/>
      <c r="P127" s="518"/>
      <c r="Q127" s="518"/>
      <c r="R127" s="518"/>
      <c r="S127" s="518"/>
      <c r="T127" s="604"/>
      <c r="U127" s="604"/>
      <c r="V127" s="604"/>
      <c r="W127" s="604"/>
      <c r="X127" s="604"/>
      <c r="Y127" s="604"/>
      <c r="Z127" s="604"/>
      <c r="AA127" s="604"/>
      <c r="AB127" s="604"/>
      <c r="AC127" s="604"/>
      <c r="AD127" s="604"/>
      <c r="AE127" s="604"/>
      <c r="AF127" s="604"/>
      <c r="AG127" s="604"/>
      <c r="AH127" s="604"/>
      <c r="AI127" s="604"/>
      <c r="AJ127" s="604"/>
      <c r="AK127" s="604"/>
      <c r="AL127" s="604"/>
      <c r="AM127" s="604"/>
      <c r="AN127" s="604"/>
      <c r="AO127" s="604"/>
      <c r="AP127" s="604"/>
      <c r="AQ127" s="604"/>
      <c r="AR127" s="604"/>
      <c r="AS127" s="604"/>
      <c r="AT127" s="604"/>
      <c r="AU127" s="604"/>
      <c r="AV127" s="604"/>
      <c r="AW127" s="604"/>
      <c r="AX127" s="604"/>
      <c r="AY127" s="604"/>
      <c r="AZ127" s="604"/>
      <c r="BA127" s="605"/>
      <c r="BB127" s="604"/>
      <c r="BC127" s="604"/>
      <c r="BD127" s="604"/>
      <c r="BE127" s="604"/>
      <c r="BF127" s="604"/>
      <c r="BG127" s="604"/>
      <c r="BH127" s="604"/>
      <c r="BI127" s="604"/>
      <c r="BJ127" s="604"/>
      <c r="BK127" s="604"/>
      <c r="BL127" s="604"/>
      <c r="BM127" s="604"/>
      <c r="BN127" s="605"/>
      <c r="BO127" s="604"/>
      <c r="BP127" s="604"/>
      <c r="BQ127" s="604"/>
      <c r="BR127" s="604"/>
      <c r="BS127" s="604"/>
      <c r="BT127" s="604"/>
      <c r="BU127" s="604"/>
      <c r="BV127" s="604"/>
      <c r="BW127" s="604"/>
      <c r="BX127" s="604"/>
      <c r="BY127" s="604"/>
      <c r="BZ127" s="604"/>
      <c r="CA127" s="605"/>
    </row>
    <row r="128" spans="1:79">
      <c r="A128" s="1537" t="s">
        <v>146</v>
      </c>
      <c r="B128" s="607"/>
      <c r="C128" s="1535" t="s">
        <v>146</v>
      </c>
      <c r="D128" s="1535"/>
      <c r="E128" s="1535"/>
      <c r="F128" s="1535"/>
      <c r="G128" s="607"/>
      <c r="H128" s="607"/>
      <c r="I128" s="607"/>
      <c r="J128" s="1536" t="s">
        <v>131</v>
      </c>
      <c r="K128" s="1536"/>
      <c r="L128" s="1536"/>
      <c r="M128" s="1536"/>
      <c r="N128" s="604"/>
      <c r="O128" s="607"/>
      <c r="P128" s="1535" t="s">
        <v>146</v>
      </c>
      <c r="Q128" s="1535"/>
      <c r="R128" s="1535"/>
      <c r="S128" s="1535"/>
      <c r="T128" s="607"/>
      <c r="U128" s="607"/>
      <c r="V128" s="607"/>
      <c r="W128" s="1536" t="s">
        <v>92</v>
      </c>
      <c r="X128" s="1536"/>
      <c r="Y128" s="1536"/>
      <c r="Z128" s="1536"/>
      <c r="AA128" s="604"/>
      <c r="AB128" s="607"/>
      <c r="AC128" s="1535" t="s">
        <v>146</v>
      </c>
      <c r="AD128" s="1535"/>
      <c r="AE128" s="1535"/>
      <c r="AF128" s="1535"/>
      <c r="AG128" s="607"/>
      <c r="AH128" s="607"/>
      <c r="AI128" s="607"/>
      <c r="AJ128" s="1536" t="s">
        <v>138</v>
      </c>
      <c r="AK128" s="1536"/>
      <c r="AL128" s="1536"/>
      <c r="AM128" s="1536"/>
      <c r="AN128" s="604"/>
      <c r="AO128" s="607"/>
      <c r="AP128" s="1535" t="s">
        <v>146</v>
      </c>
      <c r="AQ128" s="1535"/>
      <c r="AR128" s="1535"/>
      <c r="AS128" s="1535"/>
      <c r="AT128" s="607"/>
      <c r="AU128" s="607"/>
      <c r="AV128" s="607"/>
      <c r="AW128" s="1536" t="s">
        <v>144</v>
      </c>
      <c r="AX128" s="1536"/>
      <c r="AY128" s="1536"/>
      <c r="AZ128" s="1536"/>
      <c r="BA128" s="604"/>
      <c r="BB128" s="607"/>
      <c r="BC128" s="1535" t="s">
        <v>146</v>
      </c>
      <c r="BD128" s="1535"/>
      <c r="BE128" s="1535"/>
      <c r="BF128" s="1535"/>
      <c r="BG128" s="607"/>
      <c r="BH128" s="607"/>
      <c r="BI128" s="607"/>
      <c r="BJ128" s="1536" t="s">
        <v>145</v>
      </c>
      <c r="BK128" s="1536"/>
      <c r="BL128" s="1536"/>
      <c r="BM128" s="1536"/>
      <c r="BN128" s="604"/>
      <c r="BO128" s="604"/>
      <c r="BP128" s="604"/>
      <c r="BQ128" s="604"/>
      <c r="BR128" s="604"/>
      <c r="BS128" s="604"/>
      <c r="BT128" s="604"/>
      <c r="BU128" s="604"/>
      <c r="BV128" s="604"/>
      <c r="BW128" s="604"/>
      <c r="BX128" s="604"/>
      <c r="BY128" s="604"/>
      <c r="BZ128" s="604"/>
      <c r="CA128" s="604"/>
    </row>
    <row r="129" spans="1:79" ht="15">
      <c r="A129" s="1537"/>
      <c r="B129" s="522"/>
      <c r="C129" s="568">
        <v>1</v>
      </c>
      <c r="D129" s="569">
        <v>2</v>
      </c>
      <c r="E129" s="570">
        <v>3</v>
      </c>
      <c r="F129" s="603">
        <v>4</v>
      </c>
      <c r="G129" s="523">
        <f>IF(COUNTIF(G131:G147,"&gt;37")=0,0,COUNTIF(G131:G147,"&gt;37")-1)</f>
        <v>0</v>
      </c>
      <c r="H129" s="607"/>
      <c r="I129" s="523">
        <f>IF(COUNTIF(I131:I147,"&gt;37")=0,0,COUNTIF(I131:I147,"&gt;37")-1)</f>
        <v>2</v>
      </c>
      <c r="J129" s="560">
        <v>1</v>
      </c>
      <c r="K129" s="561">
        <v>2</v>
      </c>
      <c r="L129" s="562">
        <v>3</v>
      </c>
      <c r="M129" s="566">
        <v>4</v>
      </c>
      <c r="N129" s="604"/>
      <c r="O129" s="522"/>
      <c r="P129" s="568">
        <v>1</v>
      </c>
      <c r="Q129" s="569">
        <v>2</v>
      </c>
      <c r="R129" s="570">
        <v>3</v>
      </c>
      <c r="S129" s="603">
        <v>4</v>
      </c>
      <c r="T129" s="523">
        <f>IF(COUNTIF(T131:T147,"&gt;37")=0,0,COUNTIF(T131:T147,"&gt;37")-1)</f>
        <v>0</v>
      </c>
      <c r="U129" s="607"/>
      <c r="V129" s="523">
        <f>IF(COUNTIF(V131:V147,"&gt;37")=0,0,COUNTIF(V131:V147,"&gt;37")-1)</f>
        <v>4</v>
      </c>
      <c r="W129" s="560">
        <v>1</v>
      </c>
      <c r="X129" s="561">
        <v>2</v>
      </c>
      <c r="Y129" s="562">
        <v>3</v>
      </c>
      <c r="Z129" s="566">
        <v>4</v>
      </c>
      <c r="AA129" s="604"/>
      <c r="AB129" s="522"/>
      <c r="AC129" s="568">
        <v>1</v>
      </c>
      <c r="AD129" s="569">
        <v>2</v>
      </c>
      <c r="AE129" s="570">
        <v>3</v>
      </c>
      <c r="AF129" s="645">
        <v>4</v>
      </c>
      <c r="AG129" s="523">
        <f>IF(COUNTIF(AG131:AG147,"&gt;37")=0,0,COUNTIF(AG131:AG147,"&gt;37")-1)</f>
        <v>3</v>
      </c>
      <c r="AH129" s="607"/>
      <c r="AI129" s="523">
        <f>IF(COUNTIF(AI131:AI147,"&gt;37")=0,0,COUNTIF(AI131:AI147,"&gt;37")-1)</f>
        <v>7</v>
      </c>
      <c r="AJ129" s="560">
        <v>1</v>
      </c>
      <c r="AK129" s="561">
        <v>2</v>
      </c>
      <c r="AL129" s="562">
        <v>3</v>
      </c>
      <c r="AM129" s="566">
        <v>4</v>
      </c>
      <c r="AN129" s="604"/>
      <c r="AO129" s="522"/>
      <c r="AP129" s="568">
        <v>1</v>
      </c>
      <c r="AQ129" s="569">
        <v>2</v>
      </c>
      <c r="AR129" s="570">
        <v>3</v>
      </c>
      <c r="AS129" s="603">
        <v>4</v>
      </c>
      <c r="AT129" s="523">
        <f>IF(COUNTIF(AT131:AT147,"&gt;37")=0,0,COUNTIF(AT131:AT147,"&gt;37")-1)</f>
        <v>1</v>
      </c>
      <c r="AU129" s="607"/>
      <c r="AV129" s="523">
        <f>IF(COUNTIF(AV131:AV147,"&gt;37")=0,0,COUNTIF(AV131:AV147,"&gt;37")-1)</f>
        <v>2</v>
      </c>
      <c r="AW129" s="560">
        <v>1</v>
      </c>
      <c r="AX129" s="561">
        <v>2</v>
      </c>
      <c r="AY129" s="562">
        <v>3</v>
      </c>
      <c r="AZ129" s="566">
        <v>4</v>
      </c>
      <c r="BA129" s="604"/>
      <c r="BB129" s="522"/>
      <c r="BC129" s="568">
        <v>1</v>
      </c>
      <c r="BD129" s="569">
        <v>2</v>
      </c>
      <c r="BE129" s="570">
        <v>3</v>
      </c>
      <c r="BF129" s="603">
        <v>4</v>
      </c>
      <c r="BG129" s="523">
        <f>IF(COUNTIF(BG131:BG147,"&gt;37")=0,0,COUNTIF(BG131:BG147,"&gt;37")-1)</f>
        <v>7</v>
      </c>
      <c r="BH129" s="607"/>
      <c r="BI129" s="523">
        <f>IF(COUNTIF(BI131:BI147,"&gt;37")=0,0,COUNTIF(BI131:BI147,"&gt;37")-1)</f>
        <v>7</v>
      </c>
      <c r="BJ129" s="560">
        <v>1</v>
      </c>
      <c r="BK129" s="561">
        <v>2</v>
      </c>
      <c r="BL129" s="562">
        <v>3</v>
      </c>
      <c r="BM129" s="566">
        <v>4</v>
      </c>
      <c r="BN129" s="604"/>
      <c r="BO129" s="529"/>
      <c r="BP129" s="520"/>
      <c r="BQ129" s="518"/>
      <c r="BR129" s="518"/>
      <c r="BS129" s="518"/>
      <c r="BT129" s="612"/>
      <c r="BU129" s="604"/>
      <c r="BV129" s="520"/>
      <c r="BW129" s="521"/>
      <c r="BX129" s="521"/>
      <c r="BY129" s="521"/>
      <c r="BZ129" s="521"/>
      <c r="CA129" s="604"/>
    </row>
    <row r="130" spans="1:79" ht="48">
      <c r="A130" s="1537"/>
      <c r="B130" s="526"/>
      <c r="C130" s="571" t="s">
        <v>164</v>
      </c>
      <c r="D130" s="571" t="s">
        <v>165</v>
      </c>
      <c r="E130" s="571" t="s">
        <v>166</v>
      </c>
      <c r="F130" s="571" t="s">
        <v>167</v>
      </c>
      <c r="G130" s="528"/>
      <c r="H130" s="610"/>
      <c r="I130" s="611"/>
      <c r="J130" s="527" t="s">
        <v>134</v>
      </c>
      <c r="K130" s="527" t="s">
        <v>9</v>
      </c>
      <c r="L130" s="527" t="s">
        <v>132</v>
      </c>
      <c r="M130" s="527" t="s">
        <v>133</v>
      </c>
      <c r="N130" s="608"/>
      <c r="O130" s="526"/>
      <c r="P130" s="571" t="s">
        <v>164</v>
      </c>
      <c r="Q130" s="571" t="s">
        <v>165</v>
      </c>
      <c r="R130" s="571" t="s">
        <v>166</v>
      </c>
      <c r="S130" s="571" t="s">
        <v>167</v>
      </c>
      <c r="T130" s="528"/>
      <c r="U130" s="610"/>
      <c r="V130" s="611"/>
      <c r="W130" s="527" t="s">
        <v>95</v>
      </c>
      <c r="X130" s="527" t="s">
        <v>168</v>
      </c>
      <c r="Y130" s="527" t="s">
        <v>96</v>
      </c>
      <c r="Z130" s="527" t="s">
        <v>94</v>
      </c>
      <c r="AA130" s="608"/>
      <c r="AB130" s="526"/>
      <c r="AC130" s="571" t="s">
        <v>164</v>
      </c>
      <c r="AD130" s="571" t="s">
        <v>165</v>
      </c>
      <c r="AE130" s="571" t="s">
        <v>166</v>
      </c>
      <c r="AF130" s="571" t="s">
        <v>167</v>
      </c>
      <c r="AG130" s="528"/>
      <c r="AH130" s="610"/>
      <c r="AI130" s="611"/>
      <c r="AJ130" s="527" t="s">
        <v>139</v>
      </c>
      <c r="AK130" s="527" t="s">
        <v>140</v>
      </c>
      <c r="AL130" s="527" t="s">
        <v>141</v>
      </c>
      <c r="AM130" s="527" t="s">
        <v>142</v>
      </c>
      <c r="AN130" s="608"/>
      <c r="AO130" s="526"/>
      <c r="AP130" s="571" t="s">
        <v>164</v>
      </c>
      <c r="AQ130" s="571" t="s">
        <v>165</v>
      </c>
      <c r="AR130" s="571" t="s">
        <v>166</v>
      </c>
      <c r="AS130" s="571" t="s">
        <v>167</v>
      </c>
      <c r="AT130" s="528"/>
      <c r="AU130" s="610"/>
      <c r="AV130" s="611"/>
      <c r="AW130" s="527" t="s">
        <v>170</v>
      </c>
      <c r="AX130" s="527" t="s">
        <v>137</v>
      </c>
      <c r="AY130" s="527" t="s">
        <v>132</v>
      </c>
      <c r="AZ130" s="527" t="s">
        <v>53</v>
      </c>
      <c r="BA130" s="608"/>
      <c r="BB130" s="526"/>
      <c r="BC130" s="571" t="s">
        <v>164</v>
      </c>
      <c r="BD130" s="571" t="s">
        <v>165</v>
      </c>
      <c r="BE130" s="571" t="s">
        <v>166</v>
      </c>
      <c r="BF130" s="571" t="s">
        <v>167</v>
      </c>
      <c r="BG130" s="528"/>
      <c r="BH130" s="610"/>
      <c r="BI130" s="611"/>
      <c r="BJ130" s="527" t="s">
        <v>164</v>
      </c>
      <c r="BK130" s="527" t="s">
        <v>172</v>
      </c>
      <c r="BL130" s="527" t="s">
        <v>101</v>
      </c>
      <c r="BM130" s="527" t="s">
        <v>169</v>
      </c>
      <c r="BN130" s="608"/>
      <c r="BO130" s="529"/>
      <c r="BP130" s="518"/>
      <c r="BQ130" s="520"/>
      <c r="BR130" s="520"/>
      <c r="BS130" s="518"/>
      <c r="BT130" s="612"/>
      <c r="BU130" s="608"/>
      <c r="BV130" s="608"/>
      <c r="BW130" s="525"/>
      <c r="BX130" s="609"/>
      <c r="BY130" s="609"/>
      <c r="BZ130" s="524"/>
      <c r="CA130" s="608"/>
    </row>
    <row r="131" spans="1:79" ht="15">
      <c r="A131" s="1537"/>
      <c r="B131" s="530">
        <v>1</v>
      </c>
      <c r="C131" s="531">
        <v>10</v>
      </c>
      <c r="D131" s="532"/>
      <c r="E131" s="532"/>
      <c r="F131" s="600"/>
      <c r="G131" s="613">
        <f>SUM(C$131:F131)</f>
        <v>10</v>
      </c>
      <c r="H131" s="614">
        <f>G131-I131</f>
        <v>0</v>
      </c>
      <c r="I131" s="615">
        <f>SUM(J$131:M131)</f>
        <v>10</v>
      </c>
      <c r="J131" s="531">
        <v>10</v>
      </c>
      <c r="K131" s="532"/>
      <c r="L131" s="532"/>
      <c r="M131" s="600"/>
      <c r="N131" s="604"/>
      <c r="O131" s="530">
        <v>1</v>
      </c>
      <c r="P131" s="531">
        <v>10</v>
      </c>
      <c r="Q131" s="532"/>
      <c r="R131" s="532"/>
      <c r="S131" s="600"/>
      <c r="T131" s="613">
        <f>SUM(P$131:S131)</f>
        <v>10</v>
      </c>
      <c r="U131" s="614">
        <f>T131-V131</f>
        <v>5</v>
      </c>
      <c r="V131" s="615">
        <f>SUM(W$131:Z131)</f>
        <v>5</v>
      </c>
      <c r="W131" s="531">
        <v>5</v>
      </c>
      <c r="X131" s="532"/>
      <c r="Y131" s="532"/>
      <c r="Z131" s="600"/>
      <c r="AA131" s="604"/>
      <c r="AB131" s="530">
        <v>1</v>
      </c>
      <c r="AC131" s="531" t="s">
        <v>2</v>
      </c>
      <c r="AD131" s="532"/>
      <c r="AE131" s="532"/>
      <c r="AF131" s="600"/>
      <c r="AG131" s="613">
        <f>SUM(AC$131:AF131)</f>
        <v>0</v>
      </c>
      <c r="AH131" s="614">
        <f>AG131-AI131</f>
        <v>-4</v>
      </c>
      <c r="AI131" s="615">
        <f>SUM(AJ$131:AM131)</f>
        <v>4</v>
      </c>
      <c r="AJ131" s="531">
        <v>4</v>
      </c>
      <c r="AK131" s="532"/>
      <c r="AL131" s="532"/>
      <c r="AM131" s="600"/>
      <c r="AN131" s="604"/>
      <c r="AO131" s="530">
        <v>1</v>
      </c>
      <c r="AP131" s="531">
        <v>8</v>
      </c>
      <c r="AQ131" s="532"/>
      <c r="AR131" s="532"/>
      <c r="AS131" s="600"/>
      <c r="AT131" s="613">
        <f>SUM(AP$131:AS131)</f>
        <v>8</v>
      </c>
      <c r="AU131" s="614">
        <f>AT131-AV131</f>
        <v>1</v>
      </c>
      <c r="AV131" s="615">
        <f>SUM(AW$131:AZ131)</f>
        <v>7</v>
      </c>
      <c r="AW131" s="531">
        <v>7</v>
      </c>
      <c r="AX131" s="532"/>
      <c r="AY131" s="532"/>
      <c r="AZ131" s="600"/>
      <c r="BA131" s="604"/>
      <c r="BB131" s="530">
        <v>1</v>
      </c>
      <c r="BC131" s="531">
        <v>8</v>
      </c>
      <c r="BD131" s="532"/>
      <c r="BE131" s="532"/>
      <c r="BF131" s="600"/>
      <c r="BG131" s="613">
        <f>SUM(BC$131:BF131)</f>
        <v>8</v>
      </c>
      <c r="BH131" s="614">
        <f>BG131-BI131</f>
        <v>2</v>
      </c>
      <c r="BI131" s="615">
        <f>SUM(BJ$131:BM131)</f>
        <v>6</v>
      </c>
      <c r="BJ131" s="531">
        <v>6</v>
      </c>
      <c r="BK131" s="532"/>
      <c r="BL131" s="532"/>
      <c r="BM131" s="600"/>
      <c r="BN131" s="604"/>
      <c r="BO131" s="529"/>
      <c r="BP131" s="520"/>
      <c r="BQ131" s="518"/>
      <c r="BR131" s="518"/>
      <c r="BS131" s="518"/>
      <c r="BT131" s="612"/>
      <c r="BU131" s="604"/>
      <c r="BV131" s="612"/>
      <c r="BW131" s="520"/>
      <c r="BX131" s="518"/>
      <c r="BY131" s="518"/>
      <c r="BZ131" s="518"/>
      <c r="CA131" s="604"/>
    </row>
    <row r="132" spans="1:79" ht="15">
      <c r="A132" s="1537"/>
      <c r="B132" s="533">
        <v>2</v>
      </c>
      <c r="C132" s="532"/>
      <c r="D132" s="531">
        <v>2</v>
      </c>
      <c r="E132" s="532"/>
      <c r="F132" s="532"/>
      <c r="G132" s="613">
        <f>SUM(C$131:F132)</f>
        <v>12</v>
      </c>
      <c r="H132" s="614">
        <f t="shared" ref="H132:H138" si="26">G132-I132</f>
        <v>-6</v>
      </c>
      <c r="I132" s="615">
        <f>SUM(J$131:M132)</f>
        <v>18</v>
      </c>
      <c r="J132" s="532"/>
      <c r="K132" s="531">
        <v>8</v>
      </c>
      <c r="L132" s="532"/>
      <c r="M132" s="532"/>
      <c r="N132" s="604"/>
      <c r="O132" s="533">
        <v>2</v>
      </c>
      <c r="P132" s="532"/>
      <c r="Q132" s="531">
        <v>2</v>
      </c>
      <c r="R132" s="532"/>
      <c r="S132" s="532"/>
      <c r="T132" s="613">
        <f>SUM(P$131:S132)</f>
        <v>12</v>
      </c>
      <c r="U132" s="614">
        <f t="shared" ref="U132:U140" si="27">T132-V132</f>
        <v>2</v>
      </c>
      <c r="V132" s="615">
        <f>SUM(W$131:Z132)</f>
        <v>10</v>
      </c>
      <c r="W132" s="532"/>
      <c r="X132" s="531">
        <v>5</v>
      </c>
      <c r="Y132" s="532"/>
      <c r="Z132" s="532"/>
      <c r="AA132" s="604"/>
      <c r="AB132" s="533">
        <v>2</v>
      </c>
      <c r="AC132" s="532"/>
      <c r="AD132" s="531" t="s">
        <v>2</v>
      </c>
      <c r="AE132" s="532"/>
      <c r="AF132" s="532"/>
      <c r="AG132" s="613">
        <f>SUM(AC$131:AF132)</f>
        <v>0</v>
      </c>
      <c r="AH132" s="614">
        <f t="shared" ref="AH132:AH144" si="28">AG132-AI132</f>
        <v>-7</v>
      </c>
      <c r="AI132" s="615">
        <f>SUM(AJ$131:AM132)</f>
        <v>7</v>
      </c>
      <c r="AJ132" s="532"/>
      <c r="AK132" s="531">
        <v>3</v>
      </c>
      <c r="AL132" s="532"/>
      <c r="AM132" s="532"/>
      <c r="AN132" s="604"/>
      <c r="AO132" s="533">
        <v>2</v>
      </c>
      <c r="AP132" s="532"/>
      <c r="AQ132" s="531">
        <v>3</v>
      </c>
      <c r="AR132" s="532"/>
      <c r="AS132" s="532"/>
      <c r="AT132" s="613">
        <f>SUM(AP$131:AS132)</f>
        <v>11</v>
      </c>
      <c r="AU132" s="614">
        <f t="shared" ref="AU132:AU139" si="29">AT132-AV132</f>
        <v>0</v>
      </c>
      <c r="AV132" s="615">
        <f>SUM(AW$131:AZ132)</f>
        <v>11</v>
      </c>
      <c r="AW132" s="532"/>
      <c r="AX132" s="531">
        <v>4</v>
      </c>
      <c r="AY132" s="532"/>
      <c r="AZ132" s="532"/>
      <c r="BA132" s="604"/>
      <c r="BB132" s="533">
        <v>2</v>
      </c>
      <c r="BC132" s="532"/>
      <c r="BD132" s="531">
        <v>7</v>
      </c>
      <c r="BE132" s="532"/>
      <c r="BF132" s="532"/>
      <c r="BG132" s="613">
        <f>SUM(BC$131:BF132)</f>
        <v>15</v>
      </c>
      <c r="BH132" s="614">
        <f t="shared" ref="BH132:BH146" si="30">BG132-BI132</f>
        <v>9</v>
      </c>
      <c r="BI132" s="615">
        <f>SUM(BJ$131:BM132)</f>
        <v>6</v>
      </c>
      <c r="BJ132" s="532"/>
      <c r="BK132" s="531" t="s">
        <v>2</v>
      </c>
      <c r="BL132" s="532"/>
      <c r="BM132" s="532"/>
      <c r="BN132" s="604"/>
      <c r="BO132" s="529"/>
      <c r="BP132" s="518"/>
      <c r="BQ132" s="520"/>
      <c r="BR132" s="520"/>
      <c r="BS132" s="518"/>
      <c r="BT132" s="612"/>
      <c r="BU132" s="604"/>
      <c r="BV132" s="612"/>
      <c r="BW132" s="518"/>
      <c r="BX132" s="520"/>
      <c r="BY132" s="520"/>
      <c r="BZ132" s="518"/>
      <c r="CA132" s="604"/>
    </row>
    <row r="133" spans="1:79" ht="15">
      <c r="A133" s="1537"/>
      <c r="B133" s="533">
        <v>3</v>
      </c>
      <c r="C133" s="531"/>
      <c r="D133" s="532"/>
      <c r="E133" s="532">
        <v>5</v>
      </c>
      <c r="F133" s="600"/>
      <c r="G133" s="613">
        <f>SUM(C$131:F133)</f>
        <v>17</v>
      </c>
      <c r="H133" s="614">
        <f t="shared" si="26"/>
        <v>-1</v>
      </c>
      <c r="I133" s="615">
        <f>SUM(J$131:M133)</f>
        <v>18</v>
      </c>
      <c r="J133" s="531"/>
      <c r="K133" s="532"/>
      <c r="L133" s="532" t="s">
        <v>2</v>
      </c>
      <c r="M133" s="600"/>
      <c r="N133" s="604"/>
      <c r="O133" s="533">
        <v>3</v>
      </c>
      <c r="P133" s="531"/>
      <c r="Q133" s="532"/>
      <c r="R133" s="532" t="s">
        <v>2</v>
      </c>
      <c r="S133" s="600"/>
      <c r="T133" s="613">
        <f>SUM(P$131:S133)</f>
        <v>12</v>
      </c>
      <c r="U133" s="614">
        <f t="shared" si="27"/>
        <v>-7</v>
      </c>
      <c r="V133" s="615">
        <f>SUM(W$131:Z133)</f>
        <v>19</v>
      </c>
      <c r="W133" s="531"/>
      <c r="X133" s="532"/>
      <c r="Y133" s="532">
        <v>9</v>
      </c>
      <c r="Z133" s="600"/>
      <c r="AA133" s="604"/>
      <c r="AB133" s="533">
        <v>3</v>
      </c>
      <c r="AC133" s="531"/>
      <c r="AD133" s="532"/>
      <c r="AE133" s="644">
        <v>4</v>
      </c>
      <c r="AF133" s="600"/>
      <c r="AG133" s="613">
        <f>SUM(AC$131:AF133)</f>
        <v>4</v>
      </c>
      <c r="AH133" s="614">
        <f t="shared" si="28"/>
        <v>-12</v>
      </c>
      <c r="AI133" s="615">
        <f>SUM(AJ$131:AM133)</f>
        <v>16</v>
      </c>
      <c r="AJ133" s="531"/>
      <c r="AK133" s="532"/>
      <c r="AL133" s="532">
        <v>9</v>
      </c>
      <c r="AM133" s="600"/>
      <c r="AN133" s="604"/>
      <c r="AO133" s="533">
        <v>3</v>
      </c>
      <c r="AP133" s="531"/>
      <c r="AQ133" s="532"/>
      <c r="AR133" s="532" t="s">
        <v>2</v>
      </c>
      <c r="AS133" s="600"/>
      <c r="AT133" s="613">
        <f>SUM(AP$131:AS133)</f>
        <v>11</v>
      </c>
      <c r="AU133" s="614">
        <f t="shared" si="29"/>
        <v>-6</v>
      </c>
      <c r="AV133" s="615">
        <f>SUM(AW$131:AZ133)</f>
        <v>17</v>
      </c>
      <c r="AW133" s="531"/>
      <c r="AX133" s="532"/>
      <c r="AY133" s="532">
        <v>6</v>
      </c>
      <c r="AZ133" s="600"/>
      <c r="BA133" s="604"/>
      <c r="BB133" s="533">
        <v>3</v>
      </c>
      <c r="BC133" s="531"/>
      <c r="BD133" s="532"/>
      <c r="BE133" s="532" t="s">
        <v>2</v>
      </c>
      <c r="BF133" s="600"/>
      <c r="BG133" s="613">
        <f>SUM(BC$131:BF133)</f>
        <v>15</v>
      </c>
      <c r="BH133" s="614">
        <f t="shared" si="30"/>
        <v>4</v>
      </c>
      <c r="BI133" s="615">
        <f>SUM(BJ$131:BM133)</f>
        <v>11</v>
      </c>
      <c r="BJ133" s="531"/>
      <c r="BK133" s="532"/>
      <c r="BL133" s="532">
        <v>5</v>
      </c>
      <c r="BM133" s="600"/>
      <c r="BN133" s="604"/>
      <c r="BO133" s="529"/>
      <c r="BP133" s="520"/>
      <c r="BQ133" s="518"/>
      <c r="BR133" s="518"/>
      <c r="BS133" s="518"/>
      <c r="BT133" s="612"/>
      <c r="BU133" s="604"/>
      <c r="BV133" s="612"/>
      <c r="BW133" s="520"/>
      <c r="BX133" s="518"/>
      <c r="BY133" s="518"/>
      <c r="BZ133" s="518"/>
      <c r="CA133" s="604"/>
    </row>
    <row r="134" spans="1:79" ht="15">
      <c r="A134" s="1537"/>
      <c r="B134" s="530">
        <v>4</v>
      </c>
      <c r="C134" s="532"/>
      <c r="D134" s="531"/>
      <c r="E134" s="532"/>
      <c r="F134" s="532" t="s">
        <v>2</v>
      </c>
      <c r="G134" s="613">
        <f>SUM(C$131:F134)</f>
        <v>17</v>
      </c>
      <c r="H134" s="614">
        <f t="shared" si="26"/>
        <v>-5</v>
      </c>
      <c r="I134" s="615">
        <f>SUM(J$131:M134)</f>
        <v>22</v>
      </c>
      <c r="J134" s="532"/>
      <c r="K134" s="531"/>
      <c r="L134" s="532"/>
      <c r="M134" s="532">
        <v>4</v>
      </c>
      <c r="N134" s="604"/>
      <c r="O134" s="530">
        <v>4</v>
      </c>
      <c r="P134" s="532"/>
      <c r="Q134" s="531"/>
      <c r="R134" s="532"/>
      <c r="S134" s="532">
        <v>3</v>
      </c>
      <c r="T134" s="613">
        <f>SUM(P$131:S134)</f>
        <v>15</v>
      </c>
      <c r="U134" s="614">
        <f t="shared" si="27"/>
        <v>-10</v>
      </c>
      <c r="V134" s="615">
        <f>SUM(W$131:Z134)</f>
        <v>25</v>
      </c>
      <c r="W134" s="532"/>
      <c r="X134" s="531"/>
      <c r="Y134" s="532"/>
      <c r="Z134" s="532">
        <v>6</v>
      </c>
      <c r="AA134" s="604"/>
      <c r="AB134" s="530">
        <v>4</v>
      </c>
      <c r="AC134" s="532"/>
      <c r="AD134" s="531"/>
      <c r="AE134" s="532"/>
      <c r="AF134" s="532">
        <v>2</v>
      </c>
      <c r="AG134" s="613">
        <f>SUM(AC$131:AF134)</f>
        <v>6</v>
      </c>
      <c r="AH134" s="614">
        <f t="shared" si="28"/>
        <v>-19</v>
      </c>
      <c r="AI134" s="615">
        <f>SUM(AJ$131:AM134)</f>
        <v>25</v>
      </c>
      <c r="AJ134" s="532"/>
      <c r="AK134" s="531"/>
      <c r="AL134" s="532"/>
      <c r="AM134" s="532">
        <v>9</v>
      </c>
      <c r="AN134" s="604"/>
      <c r="AO134" s="530">
        <v>4</v>
      </c>
      <c r="AP134" s="532"/>
      <c r="AQ134" s="531"/>
      <c r="AR134" s="532"/>
      <c r="AS134" s="532">
        <v>2</v>
      </c>
      <c r="AT134" s="613">
        <f>SUM(AP$131:AS134)</f>
        <v>13</v>
      </c>
      <c r="AU134" s="614">
        <f t="shared" si="29"/>
        <v>-9</v>
      </c>
      <c r="AV134" s="615">
        <f>SUM(AW$131:AZ134)</f>
        <v>22</v>
      </c>
      <c r="AW134" s="532"/>
      <c r="AX134" s="531"/>
      <c r="AY134" s="532"/>
      <c r="AZ134" s="532">
        <v>5</v>
      </c>
      <c r="BA134" s="604"/>
      <c r="BB134" s="530">
        <v>4</v>
      </c>
      <c r="BC134" s="532"/>
      <c r="BD134" s="531"/>
      <c r="BE134" s="532"/>
      <c r="BF134" s="532">
        <v>2</v>
      </c>
      <c r="BG134" s="613">
        <f>SUM(BC$131:BF134)</f>
        <v>17</v>
      </c>
      <c r="BH134" s="614">
        <f t="shared" si="30"/>
        <v>-2</v>
      </c>
      <c r="BI134" s="615">
        <f>SUM(BJ$131:BM134)</f>
        <v>19</v>
      </c>
      <c r="BJ134" s="532"/>
      <c r="BK134" s="531"/>
      <c r="BL134" s="532"/>
      <c r="BM134" s="532">
        <v>8</v>
      </c>
      <c r="BN134" s="604"/>
      <c r="BO134" s="529"/>
      <c r="BP134" s="518"/>
      <c r="BQ134" s="520"/>
      <c r="BR134" s="520"/>
      <c r="BS134" s="518"/>
      <c r="BT134" s="612"/>
      <c r="BU134" s="604"/>
      <c r="BV134" s="612"/>
      <c r="BW134" s="518"/>
      <c r="BX134" s="520"/>
      <c r="BY134" s="520"/>
      <c r="BZ134" s="518"/>
      <c r="CA134" s="604"/>
    </row>
    <row r="135" spans="1:79" ht="15">
      <c r="A135" s="1537"/>
      <c r="B135" s="533">
        <v>5</v>
      </c>
      <c r="C135" s="531" t="s">
        <v>2</v>
      </c>
      <c r="D135" s="532"/>
      <c r="E135" s="532"/>
      <c r="F135" s="600"/>
      <c r="G135" s="613">
        <f>SUM(C$131:F135)</f>
        <v>17</v>
      </c>
      <c r="H135" s="614">
        <f t="shared" si="26"/>
        <v>-17</v>
      </c>
      <c r="I135" s="615">
        <f>SUM(J$131:M135)</f>
        <v>34</v>
      </c>
      <c r="J135" s="531">
        <v>12</v>
      </c>
      <c r="K135" s="532"/>
      <c r="L135" s="532"/>
      <c r="M135" s="600"/>
      <c r="N135" s="604"/>
      <c r="O135" s="533">
        <v>5</v>
      </c>
      <c r="P135" s="531">
        <v>4</v>
      </c>
      <c r="Q135" s="532"/>
      <c r="R135" s="532"/>
      <c r="S135" s="600"/>
      <c r="T135" s="613">
        <f>SUM(P$131:S135)</f>
        <v>19</v>
      </c>
      <c r="U135" s="614">
        <f t="shared" si="27"/>
        <v>-16</v>
      </c>
      <c r="V135" s="615">
        <f>SUM(W$131:Z135)</f>
        <v>35</v>
      </c>
      <c r="W135" s="531">
        <v>10</v>
      </c>
      <c r="X135" s="532"/>
      <c r="Y135" s="532"/>
      <c r="Z135" s="600"/>
      <c r="AA135" s="604"/>
      <c r="AB135" s="533">
        <v>5</v>
      </c>
      <c r="AC135" s="531" t="s">
        <v>2</v>
      </c>
      <c r="AD135" s="532"/>
      <c r="AE135" s="532"/>
      <c r="AF135" s="600"/>
      <c r="AG135" s="613">
        <f>SUM(AC$131:AF135)</f>
        <v>6</v>
      </c>
      <c r="AH135" s="614">
        <f t="shared" si="28"/>
        <v>-21</v>
      </c>
      <c r="AI135" s="615">
        <f>SUM(AJ$131:AM135)</f>
        <v>27</v>
      </c>
      <c r="AJ135" s="531">
        <v>2</v>
      </c>
      <c r="AK135" s="532"/>
      <c r="AL135" s="532"/>
      <c r="AM135" s="600"/>
      <c r="AN135" s="604"/>
      <c r="AO135" s="533">
        <v>5</v>
      </c>
      <c r="AP135" s="531">
        <v>3</v>
      </c>
      <c r="AQ135" s="532"/>
      <c r="AR135" s="532"/>
      <c r="AS135" s="600"/>
      <c r="AT135" s="613">
        <f>SUM(AP$131:AS135)</f>
        <v>16</v>
      </c>
      <c r="AU135" s="614">
        <f t="shared" si="29"/>
        <v>-8</v>
      </c>
      <c r="AV135" s="615">
        <f>SUM(AW$131:AZ135)</f>
        <v>24</v>
      </c>
      <c r="AW135" s="531">
        <v>2</v>
      </c>
      <c r="AX135" s="532"/>
      <c r="AY135" s="532"/>
      <c r="AZ135" s="600"/>
      <c r="BA135" s="604"/>
      <c r="BB135" s="533">
        <v>5</v>
      </c>
      <c r="BC135" s="531" t="s">
        <v>2</v>
      </c>
      <c r="BD135" s="532"/>
      <c r="BE135" s="532"/>
      <c r="BF135" s="600"/>
      <c r="BG135" s="613">
        <f>SUM(BC$131:BF135)</f>
        <v>17</v>
      </c>
      <c r="BH135" s="614">
        <f t="shared" si="30"/>
        <v>-4</v>
      </c>
      <c r="BI135" s="615">
        <f>SUM(BJ$131:BM135)</f>
        <v>21</v>
      </c>
      <c r="BJ135" s="531">
        <v>2</v>
      </c>
      <c r="BK135" s="532"/>
      <c r="BL135" s="532"/>
      <c r="BM135" s="600"/>
      <c r="BN135" s="604"/>
      <c r="BO135" s="529"/>
      <c r="BP135" s="520"/>
      <c r="BQ135" s="518"/>
      <c r="BR135" s="518"/>
      <c r="BS135" s="518"/>
      <c r="BT135" s="612"/>
      <c r="BU135" s="604"/>
      <c r="BV135" s="612"/>
      <c r="BW135" s="520"/>
      <c r="BX135" s="518"/>
      <c r="BY135" s="518"/>
      <c r="BZ135" s="518"/>
      <c r="CA135" s="604"/>
    </row>
    <row r="136" spans="1:79" ht="15">
      <c r="A136" s="1537"/>
      <c r="B136" s="533">
        <v>6</v>
      </c>
      <c r="C136" s="532"/>
      <c r="D136" s="643">
        <v>4</v>
      </c>
      <c r="E136" s="532"/>
      <c r="F136" s="532"/>
      <c r="G136" s="613">
        <f>SUM(C$131:F136)</f>
        <v>21</v>
      </c>
      <c r="H136" s="614">
        <f t="shared" si="26"/>
        <v>-22</v>
      </c>
      <c r="I136" s="615">
        <f>SUM(J$131:M136)</f>
        <v>43</v>
      </c>
      <c r="J136" s="532"/>
      <c r="K136" s="532">
        <v>9</v>
      </c>
      <c r="L136" s="532"/>
      <c r="M136" s="532"/>
      <c r="N136" s="604"/>
      <c r="O136" s="533">
        <v>6</v>
      </c>
      <c r="P136" s="532"/>
      <c r="Q136" s="531">
        <v>7</v>
      </c>
      <c r="R136" s="532"/>
      <c r="S136" s="532"/>
      <c r="T136" s="613">
        <f>SUM(P$131:S136)</f>
        <v>26</v>
      </c>
      <c r="U136" s="614">
        <f t="shared" si="27"/>
        <v>-16</v>
      </c>
      <c r="V136" s="615">
        <f>SUM(W$131:Z136)</f>
        <v>42</v>
      </c>
      <c r="W136" s="532"/>
      <c r="X136" s="532">
        <v>7</v>
      </c>
      <c r="Y136" s="532"/>
      <c r="Z136" s="532"/>
      <c r="AA136" s="604"/>
      <c r="AB136" s="533">
        <v>6</v>
      </c>
      <c r="AC136" s="532"/>
      <c r="AD136" s="531">
        <v>11</v>
      </c>
      <c r="AE136" s="532"/>
      <c r="AF136" s="532"/>
      <c r="AG136" s="613">
        <f>SUM(AC$131:AF136)</f>
        <v>17</v>
      </c>
      <c r="AH136" s="614">
        <f t="shared" si="28"/>
        <v>-18</v>
      </c>
      <c r="AI136" s="615">
        <f>SUM(AJ$131:AM136)</f>
        <v>35</v>
      </c>
      <c r="AJ136" s="532"/>
      <c r="AK136" s="532">
        <v>8</v>
      </c>
      <c r="AL136" s="532"/>
      <c r="AM136" s="532"/>
      <c r="AN136" s="604"/>
      <c r="AO136" s="533">
        <v>6</v>
      </c>
      <c r="AP136" s="532"/>
      <c r="AQ136" s="531" t="s">
        <v>2</v>
      </c>
      <c r="AR136" s="532"/>
      <c r="AS136" s="532"/>
      <c r="AT136" s="613">
        <f>SUM(AP$131:AS136)</f>
        <v>16</v>
      </c>
      <c r="AU136" s="614">
        <f t="shared" si="29"/>
        <v>-10</v>
      </c>
      <c r="AV136" s="615">
        <f>SUM(AW$131:AZ136)</f>
        <v>26</v>
      </c>
      <c r="AW136" s="532"/>
      <c r="AX136" s="532">
        <v>2</v>
      </c>
      <c r="AY136" s="532"/>
      <c r="AZ136" s="532"/>
      <c r="BA136" s="604"/>
      <c r="BB136" s="533">
        <v>6</v>
      </c>
      <c r="BC136" s="532"/>
      <c r="BD136" s="531">
        <v>7</v>
      </c>
      <c r="BE136" s="532"/>
      <c r="BF136" s="532"/>
      <c r="BG136" s="613">
        <f>SUM(BC$131:BF136)</f>
        <v>24</v>
      </c>
      <c r="BH136" s="614">
        <f t="shared" si="30"/>
        <v>3</v>
      </c>
      <c r="BI136" s="615">
        <f>SUM(BJ$131:BM136)</f>
        <v>21</v>
      </c>
      <c r="BJ136" s="532"/>
      <c r="BK136" s="532" t="s">
        <v>2</v>
      </c>
      <c r="BL136" s="532"/>
      <c r="BM136" s="532"/>
      <c r="BN136" s="604"/>
      <c r="BO136" s="529"/>
      <c r="BP136" s="518"/>
      <c r="BQ136" s="520"/>
      <c r="BR136" s="520"/>
      <c r="BS136" s="518"/>
      <c r="BT136" s="612"/>
      <c r="BU136" s="604"/>
      <c r="BV136" s="612"/>
      <c r="BW136" s="518"/>
      <c r="BX136" s="520"/>
      <c r="BY136" s="520"/>
      <c r="BZ136" s="518"/>
      <c r="CA136" s="604"/>
    </row>
    <row r="137" spans="1:79" ht="15">
      <c r="A137" s="1537"/>
      <c r="B137" s="530">
        <v>7</v>
      </c>
      <c r="C137" s="531"/>
      <c r="D137" s="532"/>
      <c r="E137" s="532">
        <v>2</v>
      </c>
      <c r="F137" s="600"/>
      <c r="G137" s="613">
        <f>SUM(C$131:F137)</f>
        <v>23</v>
      </c>
      <c r="H137" s="614">
        <f t="shared" si="26"/>
        <v>-21</v>
      </c>
      <c r="I137" s="615">
        <f>SUM(J$131:M137)</f>
        <v>44</v>
      </c>
      <c r="J137" s="531"/>
      <c r="K137" s="532"/>
      <c r="L137" s="532">
        <v>1</v>
      </c>
      <c r="M137" s="600"/>
      <c r="N137" s="604"/>
      <c r="O137" s="530">
        <v>7</v>
      </c>
      <c r="P137" s="531"/>
      <c r="Q137" s="532"/>
      <c r="R137" s="532">
        <v>3</v>
      </c>
      <c r="S137" s="600"/>
      <c r="T137" s="613">
        <f>SUM(P$131:S137)</f>
        <v>29</v>
      </c>
      <c r="U137" s="614">
        <f t="shared" si="27"/>
        <v>-15</v>
      </c>
      <c r="V137" s="615">
        <f>SUM(W$131:Z137)</f>
        <v>44</v>
      </c>
      <c r="W137" s="531"/>
      <c r="X137" s="532"/>
      <c r="Y137" s="532">
        <v>2</v>
      </c>
      <c r="Z137" s="600"/>
      <c r="AA137" s="604"/>
      <c r="AB137" s="530">
        <v>7</v>
      </c>
      <c r="AC137" s="531"/>
      <c r="AD137" s="532"/>
      <c r="AE137" s="532">
        <v>7</v>
      </c>
      <c r="AF137" s="600"/>
      <c r="AG137" s="613">
        <f>SUM(AC$131:AF137)</f>
        <v>24</v>
      </c>
      <c r="AH137" s="614">
        <f t="shared" si="28"/>
        <v>-14</v>
      </c>
      <c r="AI137" s="615">
        <f>SUM(AJ$131:AM137)</f>
        <v>38</v>
      </c>
      <c r="AJ137" s="531"/>
      <c r="AK137" s="532"/>
      <c r="AL137" s="532">
        <v>3</v>
      </c>
      <c r="AM137" s="600"/>
      <c r="AN137" s="604"/>
      <c r="AO137" s="530">
        <v>7</v>
      </c>
      <c r="AP137" s="531"/>
      <c r="AQ137" s="532"/>
      <c r="AR137" s="532">
        <v>12</v>
      </c>
      <c r="AS137" s="600"/>
      <c r="AT137" s="613">
        <f>SUM(AP$131:AS137)</f>
        <v>28</v>
      </c>
      <c r="AU137" s="614">
        <f t="shared" si="29"/>
        <v>-10</v>
      </c>
      <c r="AV137" s="615">
        <f>SUM(AW$131:AZ137)</f>
        <v>38</v>
      </c>
      <c r="AW137" s="531"/>
      <c r="AX137" s="532"/>
      <c r="AY137" s="532">
        <v>12</v>
      </c>
      <c r="AZ137" s="600"/>
      <c r="BA137" s="604"/>
      <c r="BB137" s="530">
        <v>7</v>
      </c>
      <c r="BC137" s="531"/>
      <c r="BD137" s="532"/>
      <c r="BE137" s="532" t="s">
        <v>2</v>
      </c>
      <c r="BF137" s="600"/>
      <c r="BG137" s="613">
        <f>SUM(BC$131:BF137)</f>
        <v>24</v>
      </c>
      <c r="BH137" s="614">
        <f t="shared" si="30"/>
        <v>-3</v>
      </c>
      <c r="BI137" s="615">
        <f>SUM(BJ$131:BM137)</f>
        <v>27</v>
      </c>
      <c r="BJ137" s="531"/>
      <c r="BK137" s="532"/>
      <c r="BL137" s="532">
        <v>6</v>
      </c>
      <c r="BM137" s="600"/>
      <c r="BN137" s="604"/>
      <c r="BO137" s="529"/>
      <c r="BP137" s="520"/>
      <c r="BQ137" s="518"/>
      <c r="BR137" s="518"/>
      <c r="BS137" s="518"/>
      <c r="BT137" s="612"/>
      <c r="BU137" s="604"/>
      <c r="BV137" s="612"/>
      <c r="BW137" s="520"/>
      <c r="BX137" s="518"/>
      <c r="BY137" s="518"/>
      <c r="BZ137" s="518"/>
      <c r="CA137" s="604"/>
    </row>
    <row r="138" spans="1:79" ht="15">
      <c r="A138" s="1537"/>
      <c r="B138" s="533">
        <v>8</v>
      </c>
      <c r="C138" s="532"/>
      <c r="D138" s="531"/>
      <c r="E138" s="532"/>
      <c r="F138" s="532" t="s">
        <v>2</v>
      </c>
      <c r="G138" s="613">
        <f>SUM(C$131:F138)</f>
        <v>23</v>
      </c>
      <c r="H138" s="614">
        <f t="shared" si="26"/>
        <v>-27</v>
      </c>
      <c r="I138" s="615">
        <f>SUM(J$131:M138)</f>
        <v>50</v>
      </c>
      <c r="J138" s="532"/>
      <c r="K138" s="531"/>
      <c r="L138" s="532"/>
      <c r="M138" s="565">
        <v>6</v>
      </c>
      <c r="N138" s="604"/>
      <c r="O138" s="533">
        <v>8</v>
      </c>
      <c r="P138" s="532"/>
      <c r="Q138" s="531"/>
      <c r="R138" s="532"/>
      <c r="S138" s="532">
        <v>3</v>
      </c>
      <c r="T138" s="613">
        <f>SUM(P$131:S138)</f>
        <v>32</v>
      </c>
      <c r="U138" s="614">
        <f t="shared" si="27"/>
        <v>-14</v>
      </c>
      <c r="V138" s="615">
        <f>SUM(W$131:Z138)</f>
        <v>46</v>
      </c>
      <c r="W138" s="532"/>
      <c r="X138" s="531"/>
      <c r="Y138" s="532"/>
      <c r="Z138" s="532">
        <v>2</v>
      </c>
      <c r="AA138" s="604"/>
      <c r="AB138" s="533">
        <v>8</v>
      </c>
      <c r="AC138" s="532"/>
      <c r="AD138" s="531"/>
      <c r="AE138" s="532"/>
      <c r="AF138" s="532">
        <v>4</v>
      </c>
      <c r="AG138" s="613">
        <f>SUM(AC$131:AF138)</f>
        <v>28</v>
      </c>
      <c r="AH138" s="614">
        <f t="shared" si="28"/>
        <v>-10</v>
      </c>
      <c r="AI138" s="615">
        <f>SUM(AJ$131:AM138)</f>
        <v>38</v>
      </c>
      <c r="AJ138" s="532"/>
      <c r="AK138" s="531"/>
      <c r="AL138" s="532"/>
      <c r="AM138" s="532" t="s">
        <v>2</v>
      </c>
      <c r="AN138" s="604"/>
      <c r="AO138" s="533">
        <v>8</v>
      </c>
      <c r="AP138" s="532"/>
      <c r="AQ138" s="531"/>
      <c r="AR138" s="532"/>
      <c r="AS138" s="532">
        <v>12</v>
      </c>
      <c r="AT138" s="613">
        <f>SUM(AP$131:AS138)</f>
        <v>40</v>
      </c>
      <c r="AU138" s="614">
        <f t="shared" si="29"/>
        <v>2</v>
      </c>
      <c r="AV138" s="615">
        <f>SUM(AW$131:AZ138)</f>
        <v>38</v>
      </c>
      <c r="AW138" s="532"/>
      <c r="AX138" s="531"/>
      <c r="AY138" s="532"/>
      <c r="AZ138" s="532" t="s">
        <v>2</v>
      </c>
      <c r="BA138" s="604"/>
      <c r="BB138" s="533">
        <v>8</v>
      </c>
      <c r="BC138" s="532"/>
      <c r="BD138" s="531"/>
      <c r="BE138" s="532"/>
      <c r="BF138" s="532">
        <v>7</v>
      </c>
      <c r="BG138" s="613">
        <f>SUM(BC$131:BF138)</f>
        <v>31</v>
      </c>
      <c r="BH138" s="614">
        <f t="shared" si="30"/>
        <v>-3</v>
      </c>
      <c r="BI138" s="615">
        <f>SUM(BJ$131:BM138)</f>
        <v>34</v>
      </c>
      <c r="BJ138" s="532"/>
      <c r="BK138" s="531"/>
      <c r="BL138" s="532"/>
      <c r="BM138" s="532">
        <v>7</v>
      </c>
      <c r="BN138" s="604"/>
      <c r="BO138" s="529"/>
      <c r="BP138" s="518"/>
      <c r="BQ138" s="520"/>
      <c r="BR138" s="520"/>
      <c r="BS138" s="518"/>
      <c r="BT138" s="612"/>
      <c r="BU138" s="604"/>
      <c r="BV138" s="612"/>
      <c r="BW138" s="518"/>
      <c r="BX138" s="520"/>
      <c r="BY138" s="520"/>
      <c r="BZ138" s="518"/>
      <c r="CA138" s="604"/>
    </row>
    <row r="139" spans="1:79" ht="15">
      <c r="A139" s="1537"/>
      <c r="B139" s="522"/>
      <c r="C139" s="534"/>
      <c r="D139" s="616"/>
      <c r="E139" s="616"/>
      <c r="F139" s="534"/>
      <c r="G139" s="616"/>
      <c r="H139" s="607"/>
      <c r="I139" s="607"/>
      <c r="J139" s="534"/>
      <c r="K139" s="616"/>
      <c r="L139" s="616"/>
      <c r="M139" s="534"/>
      <c r="N139" s="604"/>
      <c r="O139" s="530">
        <v>9</v>
      </c>
      <c r="P139" s="531">
        <v>4</v>
      </c>
      <c r="Q139" s="532"/>
      <c r="R139" s="532"/>
      <c r="S139" s="600"/>
      <c r="T139" s="613">
        <f>SUM(P$131:S139)</f>
        <v>36</v>
      </c>
      <c r="U139" s="614">
        <f t="shared" si="27"/>
        <v>-10</v>
      </c>
      <c r="V139" s="615">
        <f>SUM(W$131:Z139)</f>
        <v>46</v>
      </c>
      <c r="W139" s="532" t="s">
        <v>2</v>
      </c>
      <c r="X139" s="532"/>
      <c r="Y139" s="532"/>
      <c r="Z139" s="600"/>
      <c r="AA139" s="604"/>
      <c r="AB139" s="530">
        <v>9</v>
      </c>
      <c r="AC139" s="531">
        <v>5</v>
      </c>
      <c r="AD139" s="532"/>
      <c r="AE139" s="532"/>
      <c r="AF139" s="600"/>
      <c r="AG139" s="613">
        <f>SUM(AC$131:AF139)</f>
        <v>33</v>
      </c>
      <c r="AH139" s="614">
        <f t="shared" si="28"/>
        <v>-11</v>
      </c>
      <c r="AI139" s="615">
        <f>SUM(AJ$131:AM139)</f>
        <v>44</v>
      </c>
      <c r="AJ139" s="532">
        <v>6</v>
      </c>
      <c r="AK139" s="532"/>
      <c r="AL139" s="532"/>
      <c r="AM139" s="600"/>
      <c r="AN139" s="604"/>
      <c r="AO139" s="530">
        <v>9</v>
      </c>
      <c r="AP139" s="531">
        <v>6</v>
      </c>
      <c r="AQ139" s="532"/>
      <c r="AR139" s="532"/>
      <c r="AS139" s="600"/>
      <c r="AT139" s="613">
        <f>SUM(AP$131:AS139)</f>
        <v>46</v>
      </c>
      <c r="AU139" s="614">
        <f t="shared" si="29"/>
        <v>-4</v>
      </c>
      <c r="AV139" s="615">
        <f>SUM(AW$131:AZ139)</f>
        <v>50</v>
      </c>
      <c r="AW139" s="565">
        <v>12</v>
      </c>
      <c r="AX139" s="532"/>
      <c r="AY139" s="532"/>
      <c r="AZ139" s="600"/>
      <c r="BA139" s="604"/>
      <c r="BB139" s="530">
        <v>9</v>
      </c>
      <c r="BC139" s="531">
        <v>10</v>
      </c>
      <c r="BD139" s="532"/>
      <c r="BE139" s="532"/>
      <c r="BF139" s="600"/>
      <c r="BG139" s="613">
        <f>SUM(BC$131:BF139)</f>
        <v>41</v>
      </c>
      <c r="BH139" s="614">
        <f t="shared" si="30"/>
        <v>0</v>
      </c>
      <c r="BI139" s="615">
        <f>SUM(BJ$131:BM139)</f>
        <v>41</v>
      </c>
      <c r="BJ139" s="532">
        <v>7</v>
      </c>
      <c r="BK139" s="532"/>
      <c r="BL139" s="532"/>
      <c r="BM139" s="600"/>
      <c r="BN139" s="604"/>
      <c r="BO139" s="529"/>
      <c r="BP139" s="518"/>
      <c r="BQ139" s="520"/>
      <c r="BR139" s="520"/>
      <c r="BS139" s="518"/>
      <c r="BT139" s="612"/>
      <c r="BU139" s="604"/>
      <c r="BV139" s="612"/>
      <c r="BW139" s="518"/>
      <c r="BX139" s="520"/>
      <c r="BY139" s="520"/>
      <c r="BZ139" s="518"/>
      <c r="CA139" s="604"/>
    </row>
    <row r="140" spans="1:79" ht="15">
      <c r="A140" s="1537"/>
      <c r="B140" s="522"/>
      <c r="C140" s="534"/>
      <c r="D140" s="616"/>
      <c r="E140" s="616"/>
      <c r="F140" s="534"/>
      <c r="G140" s="616"/>
      <c r="H140" s="607"/>
      <c r="I140" s="607"/>
      <c r="J140" s="534"/>
      <c r="K140" s="616"/>
      <c r="L140" s="616"/>
      <c r="M140" s="534"/>
      <c r="N140" s="604"/>
      <c r="O140" s="533">
        <v>10</v>
      </c>
      <c r="P140" s="532"/>
      <c r="Q140" s="531">
        <v>12</v>
      </c>
      <c r="R140" s="532"/>
      <c r="S140" s="532"/>
      <c r="T140" s="613">
        <f>SUM(P$131:S140)</f>
        <v>48</v>
      </c>
      <c r="U140" s="614">
        <f t="shared" si="27"/>
        <v>-2</v>
      </c>
      <c r="V140" s="615">
        <f>SUM(W$131:Z140)</f>
        <v>50</v>
      </c>
      <c r="W140" s="532"/>
      <c r="X140" s="565">
        <v>4</v>
      </c>
      <c r="Y140" s="532"/>
      <c r="Z140" s="532"/>
      <c r="AA140" s="604"/>
      <c r="AB140" s="533">
        <v>10</v>
      </c>
      <c r="AC140" s="532"/>
      <c r="AD140" s="531">
        <v>2</v>
      </c>
      <c r="AE140" s="532"/>
      <c r="AF140" s="532"/>
      <c r="AG140" s="613">
        <f>SUM(AC$131:AF140)</f>
        <v>35</v>
      </c>
      <c r="AH140" s="614">
        <f t="shared" si="28"/>
        <v>-9</v>
      </c>
      <c r="AI140" s="615">
        <f>SUM(AJ$131:AM140)</f>
        <v>44</v>
      </c>
      <c r="AJ140" s="532"/>
      <c r="AK140" s="531" t="s">
        <v>2</v>
      </c>
      <c r="AL140" s="532"/>
      <c r="AM140" s="532"/>
      <c r="AN140" s="604"/>
      <c r="AO140" s="522"/>
      <c r="AP140" s="534"/>
      <c r="AQ140" s="616"/>
      <c r="AR140" s="616"/>
      <c r="AS140" s="534"/>
      <c r="AT140" s="616"/>
      <c r="AU140" s="607"/>
      <c r="AV140" s="607"/>
      <c r="AW140" s="534"/>
      <c r="AX140" s="616"/>
      <c r="AY140" s="616"/>
      <c r="AZ140" s="534"/>
      <c r="BA140" s="604"/>
      <c r="BB140" s="533">
        <v>10</v>
      </c>
      <c r="BC140" s="532"/>
      <c r="BD140" s="531">
        <v>3</v>
      </c>
      <c r="BE140" s="532"/>
      <c r="BF140" s="532"/>
      <c r="BG140" s="613">
        <f>SUM(BC$131:BF140)</f>
        <v>44</v>
      </c>
      <c r="BH140" s="614">
        <f t="shared" si="30"/>
        <v>3</v>
      </c>
      <c r="BI140" s="615">
        <f>SUM(BJ$131:BM140)</f>
        <v>41</v>
      </c>
      <c r="BJ140" s="532"/>
      <c r="BK140" s="531" t="s">
        <v>2</v>
      </c>
      <c r="BL140" s="532"/>
      <c r="BM140" s="532"/>
      <c r="BN140" s="604"/>
      <c r="BO140" s="529"/>
      <c r="BP140" s="518"/>
      <c r="BQ140" s="520"/>
      <c r="BR140" s="520"/>
      <c r="BS140" s="518"/>
      <c r="BT140" s="612"/>
      <c r="BU140" s="604"/>
      <c r="BV140" s="612"/>
      <c r="BW140" s="518"/>
      <c r="BX140" s="520"/>
      <c r="BY140" s="520"/>
      <c r="BZ140" s="518"/>
      <c r="CA140" s="604"/>
    </row>
    <row r="141" spans="1:79" ht="15">
      <c r="A141" s="1537"/>
      <c r="B141" s="522"/>
      <c r="C141" s="534"/>
      <c r="D141" s="616"/>
      <c r="E141" s="616"/>
      <c r="F141" s="534"/>
      <c r="G141" s="616"/>
      <c r="H141" s="607"/>
      <c r="I141" s="607"/>
      <c r="J141" s="534"/>
      <c r="K141" s="616"/>
      <c r="L141" s="616"/>
      <c r="M141" s="534"/>
      <c r="N141" s="604"/>
      <c r="O141" s="522"/>
      <c r="P141" s="534"/>
      <c r="Q141" s="616"/>
      <c r="R141" s="616"/>
      <c r="S141" s="534"/>
      <c r="T141" s="616"/>
      <c r="U141" s="607"/>
      <c r="V141" s="607"/>
      <c r="W141" s="534"/>
      <c r="X141" s="616"/>
      <c r="Y141" s="616"/>
      <c r="Z141" s="534"/>
      <c r="AA141" s="604"/>
      <c r="AB141" s="533">
        <v>11</v>
      </c>
      <c r="AC141" s="531"/>
      <c r="AD141" s="532"/>
      <c r="AE141" s="532">
        <v>11</v>
      </c>
      <c r="AF141" s="600"/>
      <c r="AG141" s="613">
        <f>SUM(AC$131:AF141)</f>
        <v>46</v>
      </c>
      <c r="AH141" s="614">
        <f t="shared" si="28"/>
        <v>0</v>
      </c>
      <c r="AI141" s="615">
        <f>SUM(AJ$131:AM141)</f>
        <v>46</v>
      </c>
      <c r="AJ141" s="531"/>
      <c r="AK141" s="532"/>
      <c r="AL141" s="532">
        <v>2</v>
      </c>
      <c r="AM141" s="600"/>
      <c r="AN141" s="604"/>
      <c r="AO141" s="522"/>
      <c r="AP141" s="534"/>
      <c r="AQ141" s="616"/>
      <c r="AR141" s="616"/>
      <c r="AS141" s="534"/>
      <c r="AT141" s="616"/>
      <c r="AU141" s="607"/>
      <c r="AV141" s="607"/>
      <c r="AW141" s="534"/>
      <c r="AX141" s="616"/>
      <c r="AY141" s="616"/>
      <c r="AZ141" s="534"/>
      <c r="BA141" s="604"/>
      <c r="BB141" s="533">
        <v>11</v>
      </c>
      <c r="BC141" s="531"/>
      <c r="BD141" s="532"/>
      <c r="BE141" s="532">
        <v>2</v>
      </c>
      <c r="BF141" s="600"/>
      <c r="BG141" s="613">
        <f>SUM(BC$131:BF141)</f>
        <v>46</v>
      </c>
      <c r="BH141" s="614">
        <f t="shared" si="30"/>
        <v>3</v>
      </c>
      <c r="BI141" s="615">
        <f>SUM(BJ$131:BM141)</f>
        <v>43</v>
      </c>
      <c r="BJ141" s="531"/>
      <c r="BK141" s="532"/>
      <c r="BL141" s="532">
        <v>2</v>
      </c>
      <c r="BM141" s="600"/>
      <c r="BN141" s="604"/>
      <c r="BO141" s="529"/>
      <c r="BP141" s="518"/>
      <c r="BQ141" s="520"/>
      <c r="BR141" s="520"/>
      <c r="BS141" s="518"/>
      <c r="BT141" s="612"/>
      <c r="BU141" s="604"/>
      <c r="BV141" s="612"/>
      <c r="BW141" s="518"/>
      <c r="BX141" s="520"/>
      <c r="BY141" s="520"/>
      <c r="BZ141" s="518"/>
      <c r="CA141" s="604"/>
    </row>
    <row r="142" spans="1:79" ht="15">
      <c r="A142" s="1537"/>
      <c r="B142" s="522"/>
      <c r="C142" s="534"/>
      <c r="D142" s="616"/>
      <c r="E142" s="616"/>
      <c r="F142" s="534"/>
      <c r="G142" s="616"/>
      <c r="H142" s="607"/>
      <c r="I142" s="607"/>
      <c r="J142" s="534"/>
      <c r="K142" s="616"/>
      <c r="L142" s="616"/>
      <c r="M142" s="534"/>
      <c r="N142" s="604"/>
      <c r="O142" s="522"/>
      <c r="P142" s="534"/>
      <c r="Q142" s="616"/>
      <c r="R142" s="616"/>
      <c r="S142" s="534"/>
      <c r="T142" s="616"/>
      <c r="U142" s="607"/>
      <c r="V142" s="607"/>
      <c r="W142" s="534"/>
      <c r="X142" s="616"/>
      <c r="Y142" s="616"/>
      <c r="Z142" s="534"/>
      <c r="AA142" s="604"/>
      <c r="AB142" s="530">
        <v>12</v>
      </c>
      <c r="AC142" s="532"/>
      <c r="AD142" s="531"/>
      <c r="AE142" s="532"/>
      <c r="AF142" s="532" t="s">
        <v>2</v>
      </c>
      <c r="AG142" s="613">
        <f>SUM(AC$131:AF142)</f>
        <v>46</v>
      </c>
      <c r="AH142" s="614">
        <f t="shared" si="28"/>
        <v>-3</v>
      </c>
      <c r="AI142" s="615">
        <f>SUM(AJ$131:AM142)</f>
        <v>49</v>
      </c>
      <c r="AJ142" s="532"/>
      <c r="AK142" s="531"/>
      <c r="AL142" s="532"/>
      <c r="AM142" s="532">
        <v>3</v>
      </c>
      <c r="AN142" s="604"/>
      <c r="AO142" s="522"/>
      <c r="AP142" s="534"/>
      <c r="AQ142" s="616"/>
      <c r="AR142" s="616"/>
      <c r="AS142" s="534"/>
      <c r="AT142" s="616"/>
      <c r="AU142" s="607"/>
      <c r="AV142" s="607"/>
      <c r="AW142" s="534"/>
      <c r="AX142" s="616"/>
      <c r="AY142" s="616"/>
      <c r="AZ142" s="534"/>
      <c r="BA142" s="604"/>
      <c r="BB142" s="530">
        <v>12</v>
      </c>
      <c r="BC142" s="532"/>
      <c r="BD142" s="531"/>
      <c r="BE142" s="532"/>
      <c r="BF142" s="532" t="s">
        <v>2</v>
      </c>
      <c r="BG142" s="613">
        <f>SUM(BC$131:BF142)</f>
        <v>46</v>
      </c>
      <c r="BH142" s="614">
        <f t="shared" si="30"/>
        <v>3</v>
      </c>
      <c r="BI142" s="615">
        <f>SUM(BJ$131:BM142)</f>
        <v>43</v>
      </c>
      <c r="BJ142" s="532"/>
      <c r="BK142" s="531"/>
      <c r="BL142" s="532"/>
      <c r="BM142" s="532" t="s">
        <v>2</v>
      </c>
      <c r="BN142" s="604"/>
      <c r="BO142" s="529"/>
      <c r="BP142" s="518"/>
      <c r="BQ142" s="520"/>
      <c r="BR142" s="520"/>
      <c r="BS142" s="518"/>
      <c r="BT142" s="612"/>
      <c r="BU142" s="604"/>
      <c r="BV142" s="612"/>
      <c r="BW142" s="518"/>
      <c r="BX142" s="520"/>
      <c r="BY142" s="520"/>
      <c r="BZ142" s="518"/>
      <c r="CA142" s="604"/>
    </row>
    <row r="143" spans="1:79" ht="15">
      <c r="A143" s="1537"/>
      <c r="B143" s="522"/>
      <c r="C143" s="534"/>
      <c r="D143" s="616"/>
      <c r="E143" s="616"/>
      <c r="F143" s="534"/>
      <c r="G143" s="616"/>
      <c r="H143" s="607"/>
      <c r="I143" s="607"/>
      <c r="J143" s="534"/>
      <c r="K143" s="616"/>
      <c r="L143" s="616"/>
      <c r="M143" s="534"/>
      <c r="N143" s="604"/>
      <c r="O143" s="522"/>
      <c r="P143" s="534"/>
      <c r="Q143" s="616"/>
      <c r="R143" s="616"/>
      <c r="S143" s="534"/>
      <c r="T143" s="616"/>
      <c r="U143" s="607"/>
      <c r="V143" s="607"/>
      <c r="W143" s="534"/>
      <c r="X143" s="616"/>
      <c r="Y143" s="616"/>
      <c r="Z143" s="534"/>
      <c r="AA143" s="604"/>
      <c r="AB143" s="533">
        <v>13</v>
      </c>
      <c r="AC143" s="531">
        <v>3</v>
      </c>
      <c r="AD143" s="532"/>
      <c r="AE143" s="532"/>
      <c r="AF143" s="600"/>
      <c r="AG143" s="613">
        <f>SUM(AC$131:AF143)</f>
        <v>49</v>
      </c>
      <c r="AH143" s="614">
        <f t="shared" si="28"/>
        <v>0</v>
      </c>
      <c r="AI143" s="615">
        <f>SUM(AJ$131:AM143)</f>
        <v>49</v>
      </c>
      <c r="AJ143" s="531" t="s">
        <v>2</v>
      </c>
      <c r="AK143" s="532"/>
      <c r="AL143" s="532"/>
      <c r="AM143" s="600"/>
      <c r="AN143" s="604"/>
      <c r="AO143" s="522"/>
      <c r="AP143" s="534"/>
      <c r="AQ143" s="616"/>
      <c r="AR143" s="616"/>
      <c r="AS143" s="534"/>
      <c r="AT143" s="616"/>
      <c r="AU143" s="607"/>
      <c r="AV143" s="607"/>
      <c r="AW143" s="534"/>
      <c r="AX143" s="616"/>
      <c r="AY143" s="616"/>
      <c r="AZ143" s="534"/>
      <c r="BA143" s="604"/>
      <c r="BB143" s="533">
        <v>13</v>
      </c>
      <c r="BC143" s="531">
        <v>2</v>
      </c>
      <c r="BD143" s="532"/>
      <c r="BE143" s="532"/>
      <c r="BF143" s="600"/>
      <c r="BG143" s="613">
        <f>SUM(BC$131:BF143)</f>
        <v>48</v>
      </c>
      <c r="BH143" s="614">
        <f t="shared" si="30"/>
        <v>-1</v>
      </c>
      <c r="BI143" s="615">
        <f>SUM(BJ$131:BM143)</f>
        <v>49</v>
      </c>
      <c r="BJ143" s="531">
        <v>6</v>
      </c>
      <c r="BK143" s="532"/>
      <c r="BL143" s="532"/>
      <c r="BM143" s="600"/>
      <c r="BN143" s="604"/>
      <c r="BO143" s="529"/>
      <c r="BP143" s="518"/>
      <c r="BQ143" s="520"/>
      <c r="BR143" s="520"/>
      <c r="BS143" s="518"/>
      <c r="BT143" s="612"/>
      <c r="BU143" s="604"/>
      <c r="BV143" s="612"/>
      <c r="BW143" s="518"/>
      <c r="BX143" s="520"/>
      <c r="BY143" s="520"/>
      <c r="BZ143" s="518"/>
      <c r="CA143" s="604"/>
    </row>
    <row r="144" spans="1:79" ht="15">
      <c r="A144" s="1537"/>
      <c r="B144" s="522"/>
      <c r="C144" s="534"/>
      <c r="D144" s="616"/>
      <c r="E144" s="616"/>
      <c r="F144" s="534"/>
      <c r="G144" s="616"/>
      <c r="H144" s="607"/>
      <c r="I144" s="607"/>
      <c r="J144" s="534"/>
      <c r="K144" s="616"/>
      <c r="L144" s="616"/>
      <c r="M144" s="534"/>
      <c r="N144" s="604"/>
      <c r="O144" s="522"/>
      <c r="P144" s="534"/>
      <c r="Q144" s="616"/>
      <c r="R144" s="616"/>
      <c r="S144" s="534"/>
      <c r="T144" s="616"/>
      <c r="U144" s="607"/>
      <c r="V144" s="607"/>
      <c r="W144" s="534"/>
      <c r="X144" s="616"/>
      <c r="Y144" s="616"/>
      <c r="Z144" s="534"/>
      <c r="AA144" s="604"/>
      <c r="AB144" s="533">
        <v>14</v>
      </c>
      <c r="AC144" s="532"/>
      <c r="AD144" s="531" t="s">
        <v>2</v>
      </c>
      <c r="AE144" s="532"/>
      <c r="AF144" s="532"/>
      <c r="AG144" s="613">
        <f>SUM(AC$131:AF144)</f>
        <v>49</v>
      </c>
      <c r="AH144" s="614">
        <f t="shared" si="28"/>
        <v>-1</v>
      </c>
      <c r="AI144" s="615">
        <f>SUM(AJ$131:AM144)</f>
        <v>50</v>
      </c>
      <c r="AJ144" s="532"/>
      <c r="AK144" s="565">
        <v>1</v>
      </c>
      <c r="AL144" s="532"/>
      <c r="AM144" s="532"/>
      <c r="AN144" s="604"/>
      <c r="AO144" s="522"/>
      <c r="AP144" s="534"/>
      <c r="AQ144" s="616"/>
      <c r="AR144" s="616"/>
      <c r="AS144" s="534"/>
      <c r="AT144" s="616"/>
      <c r="AU144" s="607"/>
      <c r="AV144" s="607"/>
      <c r="AW144" s="534"/>
      <c r="AX144" s="616"/>
      <c r="AY144" s="616"/>
      <c r="AZ144" s="534"/>
      <c r="BA144" s="604"/>
      <c r="BB144" s="533">
        <v>14</v>
      </c>
      <c r="BC144" s="532"/>
      <c r="BD144" s="531" t="s">
        <v>2</v>
      </c>
      <c r="BE144" s="532"/>
      <c r="BF144" s="532"/>
      <c r="BG144" s="613">
        <f>SUM(BC$131:BF144)</f>
        <v>48</v>
      </c>
      <c r="BH144" s="614">
        <f t="shared" si="30"/>
        <v>-1</v>
      </c>
      <c r="BI144" s="615">
        <f>SUM(BJ$131:BM144)</f>
        <v>49</v>
      </c>
      <c r="BJ144" s="532"/>
      <c r="BK144" s="532" t="s">
        <v>2</v>
      </c>
      <c r="BL144" s="532"/>
      <c r="BM144" s="532"/>
      <c r="BN144" s="604"/>
      <c r="BO144" s="529"/>
      <c r="BP144" s="518"/>
      <c r="BQ144" s="520"/>
      <c r="BR144" s="520"/>
      <c r="BS144" s="518"/>
      <c r="BT144" s="612"/>
      <c r="BU144" s="604"/>
      <c r="BV144" s="612"/>
      <c r="BW144" s="518"/>
      <c r="BX144" s="520"/>
      <c r="BY144" s="520"/>
      <c r="BZ144" s="518"/>
      <c r="CA144" s="604"/>
    </row>
    <row r="145" spans="1:79" ht="15">
      <c r="A145" s="1537"/>
      <c r="B145" s="522"/>
      <c r="C145" s="534"/>
      <c r="D145" s="616"/>
      <c r="E145" s="616"/>
      <c r="F145" s="534"/>
      <c r="G145" s="616"/>
      <c r="H145" s="607"/>
      <c r="I145" s="607"/>
      <c r="J145" s="534"/>
      <c r="K145" s="616"/>
      <c r="L145" s="616"/>
      <c r="M145" s="534"/>
      <c r="N145" s="604"/>
      <c r="O145" s="522"/>
      <c r="P145" s="534"/>
      <c r="Q145" s="616"/>
      <c r="R145" s="616"/>
      <c r="S145" s="534"/>
      <c r="T145" s="616"/>
      <c r="U145" s="607"/>
      <c r="V145" s="607"/>
      <c r="W145" s="534"/>
      <c r="X145" s="616"/>
      <c r="Y145" s="616"/>
      <c r="Z145" s="534"/>
      <c r="AA145" s="604"/>
      <c r="AB145" s="522"/>
      <c r="AC145" s="534"/>
      <c r="AD145" s="616"/>
      <c r="AE145" s="616"/>
      <c r="AF145" s="534"/>
      <c r="AG145" s="616"/>
      <c r="AH145" s="607"/>
      <c r="AI145" s="607"/>
      <c r="AJ145" s="534"/>
      <c r="AK145" s="616"/>
      <c r="AL145" s="616"/>
      <c r="AM145" s="534"/>
      <c r="AN145" s="604"/>
      <c r="AO145" s="522"/>
      <c r="AP145" s="534"/>
      <c r="AQ145" s="616"/>
      <c r="AR145" s="616"/>
      <c r="AS145" s="534"/>
      <c r="AT145" s="616"/>
      <c r="AU145" s="607"/>
      <c r="AV145" s="607"/>
      <c r="AW145" s="534"/>
      <c r="AX145" s="616"/>
      <c r="AY145" s="616"/>
      <c r="AZ145" s="534"/>
      <c r="BA145" s="604"/>
      <c r="BB145" s="530">
        <v>15</v>
      </c>
      <c r="BC145" s="531"/>
      <c r="BD145" s="532"/>
      <c r="BE145" s="532">
        <v>1</v>
      </c>
      <c r="BF145" s="600"/>
      <c r="BG145" s="613">
        <f>SUM(BC$131:BF145)</f>
        <v>49</v>
      </c>
      <c r="BH145" s="614">
        <f t="shared" si="30"/>
        <v>0</v>
      </c>
      <c r="BI145" s="615">
        <f>SUM(BJ$131:BM145)</f>
        <v>49</v>
      </c>
      <c r="BJ145" s="531"/>
      <c r="BK145" s="532"/>
      <c r="BL145" s="532" t="s">
        <v>2</v>
      </c>
      <c r="BM145" s="600"/>
      <c r="BN145" s="604"/>
      <c r="BO145" s="529"/>
      <c r="BP145" s="518"/>
      <c r="BQ145" s="520"/>
      <c r="BR145" s="520"/>
      <c r="BS145" s="518"/>
      <c r="BT145" s="612"/>
      <c r="BU145" s="604"/>
      <c r="BV145" s="612"/>
      <c r="BW145" s="518"/>
      <c r="BX145" s="520"/>
      <c r="BY145" s="520"/>
      <c r="BZ145" s="518"/>
      <c r="CA145" s="604"/>
    </row>
    <row r="146" spans="1:79" ht="15">
      <c r="A146" s="1537"/>
      <c r="B146" s="522"/>
      <c r="C146" s="534"/>
      <c r="D146" s="616"/>
      <c r="E146" s="616"/>
      <c r="F146" s="534"/>
      <c r="G146" s="616"/>
      <c r="H146" s="607"/>
      <c r="I146" s="607"/>
      <c r="J146" s="534"/>
      <c r="K146" s="616"/>
      <c r="L146" s="616"/>
      <c r="M146" s="534"/>
      <c r="N146" s="604"/>
      <c r="O146" s="522"/>
      <c r="P146" s="534"/>
      <c r="Q146" s="616"/>
      <c r="R146" s="616"/>
      <c r="S146" s="534"/>
      <c r="T146" s="616"/>
      <c r="U146" s="607"/>
      <c r="V146" s="607"/>
      <c r="W146" s="534"/>
      <c r="X146" s="616"/>
      <c r="Y146" s="616"/>
      <c r="Z146" s="534"/>
      <c r="AA146" s="604"/>
      <c r="AB146" s="522"/>
      <c r="AC146" s="534"/>
      <c r="AD146" s="616"/>
      <c r="AE146" s="616"/>
      <c r="AF146" s="534"/>
      <c r="AG146" s="616"/>
      <c r="AH146" s="607"/>
      <c r="AI146" s="607"/>
      <c r="AJ146" s="534"/>
      <c r="AK146" s="616"/>
      <c r="AL146" s="616"/>
      <c r="AM146" s="534"/>
      <c r="AN146" s="604"/>
      <c r="AO146" s="522"/>
      <c r="AP146" s="534"/>
      <c r="AQ146" s="616"/>
      <c r="AR146" s="616"/>
      <c r="AS146" s="534"/>
      <c r="AT146" s="616"/>
      <c r="AU146" s="607"/>
      <c r="AV146" s="607"/>
      <c r="AW146" s="534"/>
      <c r="AX146" s="616"/>
      <c r="AY146" s="616"/>
      <c r="AZ146" s="534"/>
      <c r="BA146" s="604"/>
      <c r="BB146" s="533">
        <v>16</v>
      </c>
      <c r="BC146" s="532"/>
      <c r="BD146" s="531"/>
      <c r="BE146" s="532"/>
      <c r="BF146" s="532" t="s">
        <v>2</v>
      </c>
      <c r="BG146" s="613">
        <f>SUM(BC$131:BF146)</f>
        <v>49</v>
      </c>
      <c r="BH146" s="614">
        <f t="shared" si="30"/>
        <v>-1</v>
      </c>
      <c r="BI146" s="615">
        <f>SUM(BJ$131:BM146)</f>
        <v>50</v>
      </c>
      <c r="BJ146" s="532"/>
      <c r="BK146" s="531"/>
      <c r="BL146" s="532"/>
      <c r="BM146" s="1429">
        <v>1</v>
      </c>
      <c r="BN146" s="604"/>
      <c r="BO146" s="529"/>
      <c r="BP146" s="518"/>
      <c r="BQ146" s="520"/>
      <c r="BR146" s="520"/>
      <c r="BS146" s="518"/>
      <c r="BT146" s="612"/>
      <c r="BU146" s="604"/>
      <c r="BV146" s="612"/>
      <c r="BW146" s="518"/>
      <c r="BX146" s="520"/>
      <c r="BY146" s="520"/>
      <c r="BZ146" s="518"/>
      <c r="CA146" s="604"/>
    </row>
    <row r="147" spans="1:79">
      <c r="A147" s="1537"/>
      <c r="B147" s="522"/>
      <c r="C147" s="534"/>
      <c r="D147" s="616"/>
      <c r="E147" s="616"/>
      <c r="F147" s="534"/>
      <c r="G147" s="616"/>
      <c r="H147" s="607"/>
      <c r="I147" s="607"/>
      <c r="J147" s="534"/>
      <c r="K147" s="616"/>
      <c r="L147" s="616"/>
      <c r="M147" s="534"/>
      <c r="N147" s="604"/>
      <c r="O147" s="522"/>
      <c r="P147" s="534"/>
      <c r="Q147" s="616"/>
      <c r="R147" s="616"/>
      <c r="S147" s="534"/>
      <c r="T147" s="616"/>
      <c r="U147" s="607"/>
      <c r="V147" s="607"/>
      <c r="W147" s="534"/>
      <c r="X147" s="616"/>
      <c r="Y147" s="616"/>
      <c r="Z147" s="534"/>
      <c r="AA147" s="604"/>
      <c r="AB147" s="522"/>
      <c r="AC147" s="534"/>
      <c r="AD147" s="616"/>
      <c r="AE147" s="616"/>
      <c r="AF147" s="534"/>
      <c r="AG147" s="616"/>
      <c r="AH147" s="607"/>
      <c r="AI147" s="607"/>
      <c r="AJ147" s="534"/>
      <c r="AK147" s="616"/>
      <c r="AL147" s="616"/>
      <c r="AM147" s="534"/>
      <c r="AN147" s="604"/>
      <c r="AO147" s="522"/>
      <c r="AP147" s="534"/>
      <c r="AQ147" s="616"/>
      <c r="AR147" s="616"/>
      <c r="AS147" s="534"/>
      <c r="AT147" s="616"/>
      <c r="AU147" s="607"/>
      <c r="AV147" s="607"/>
      <c r="AW147" s="534"/>
      <c r="AX147" s="616"/>
      <c r="AY147" s="616"/>
      <c r="AZ147" s="534"/>
      <c r="BA147" s="604"/>
      <c r="BB147" s="522"/>
      <c r="BC147" s="534"/>
      <c r="BD147" s="616"/>
      <c r="BE147" s="616"/>
      <c r="BF147" s="534"/>
      <c r="BG147" s="616"/>
      <c r="BH147" s="607"/>
      <c r="BI147" s="607"/>
      <c r="BJ147" s="534"/>
      <c r="BK147" s="616"/>
      <c r="BL147" s="616"/>
      <c r="BM147" s="534"/>
      <c r="BN147" s="604"/>
      <c r="BO147" s="529"/>
      <c r="BP147" s="518"/>
      <c r="BQ147" s="606"/>
      <c r="BR147" s="606"/>
      <c r="BS147" s="518"/>
      <c r="BT147" s="606"/>
      <c r="BU147" s="604"/>
      <c r="BV147" s="604"/>
      <c r="BW147" s="518"/>
      <c r="BX147" s="606"/>
      <c r="BY147" s="606"/>
      <c r="BZ147" s="518"/>
      <c r="CA147" s="604"/>
    </row>
    <row r="148" spans="1:79" ht="15">
      <c r="A148" s="1537"/>
      <c r="B148" s="539" t="s">
        <v>3</v>
      </c>
      <c r="C148" s="531">
        <f>SUM(C131:C147)</f>
        <v>10</v>
      </c>
      <c r="D148" s="531">
        <f>SUM(D131:D147)</f>
        <v>6</v>
      </c>
      <c r="E148" s="531">
        <f>SUM(E131:E147)</f>
        <v>7</v>
      </c>
      <c r="F148" s="531">
        <f>SUM(F131:F147)</f>
        <v>0</v>
      </c>
      <c r="G148" s="541">
        <f>SUM(C148:F148)</f>
        <v>23</v>
      </c>
      <c r="H148" s="607"/>
      <c r="I148" s="541">
        <f>SUM(J148:M148)</f>
        <v>50</v>
      </c>
      <c r="J148" s="531">
        <f>SUM(J131:J147)</f>
        <v>22</v>
      </c>
      <c r="K148" s="531">
        <f>SUM(K131:K147)</f>
        <v>17</v>
      </c>
      <c r="L148" s="531">
        <f>SUM(L131:L147)</f>
        <v>1</v>
      </c>
      <c r="M148" s="540">
        <f>SUM(M131:M147)</f>
        <v>10</v>
      </c>
      <c r="N148" s="604"/>
      <c r="O148" s="539" t="s">
        <v>3</v>
      </c>
      <c r="P148" s="531">
        <f>SUM(P131:P147)</f>
        <v>18</v>
      </c>
      <c r="Q148" s="531">
        <f>SUM(Q131:Q147)</f>
        <v>21</v>
      </c>
      <c r="R148" s="531">
        <f>SUM(R131:R147)</f>
        <v>3</v>
      </c>
      <c r="S148" s="531">
        <f>SUM(S131:S147)</f>
        <v>6</v>
      </c>
      <c r="T148" s="541">
        <f>SUM(P148:S148)</f>
        <v>48</v>
      </c>
      <c r="U148" s="607"/>
      <c r="V148" s="541">
        <f>SUM(W148:Z148)</f>
        <v>50</v>
      </c>
      <c r="W148" s="531">
        <f>SUM(W131:W147)</f>
        <v>15</v>
      </c>
      <c r="X148" s="531">
        <f>SUM(X131:X147)</f>
        <v>16</v>
      </c>
      <c r="Y148" s="531">
        <f>SUM(Y131:Y147)</f>
        <v>11</v>
      </c>
      <c r="Z148" s="540">
        <f>SUM(Z131:Z147)</f>
        <v>8</v>
      </c>
      <c r="AA148" s="604"/>
      <c r="AB148" s="539" t="s">
        <v>3</v>
      </c>
      <c r="AC148" s="531">
        <f>SUM(AC131:AC147)</f>
        <v>8</v>
      </c>
      <c r="AD148" s="531">
        <f>SUM(AD131:AD147)</f>
        <v>13</v>
      </c>
      <c r="AE148" s="531">
        <f>SUM(AE131:AE147)</f>
        <v>22</v>
      </c>
      <c r="AF148" s="531">
        <f>SUM(AF131:AF147)</f>
        <v>6</v>
      </c>
      <c r="AG148" s="541">
        <f>SUM(AC148:AF148)</f>
        <v>49</v>
      </c>
      <c r="AH148" s="607"/>
      <c r="AI148" s="541">
        <f>SUM(AJ148:AM148)</f>
        <v>50</v>
      </c>
      <c r="AJ148" s="531">
        <f>SUM(AJ131:AJ147)</f>
        <v>12</v>
      </c>
      <c r="AK148" s="531">
        <f>SUM(AK131:AK147)</f>
        <v>12</v>
      </c>
      <c r="AL148" s="531">
        <f>SUM(AL131:AL147)</f>
        <v>14</v>
      </c>
      <c r="AM148" s="540">
        <f>SUM(AM131:AM147)</f>
        <v>12</v>
      </c>
      <c r="AN148" s="604"/>
      <c r="AO148" s="539" t="s">
        <v>3</v>
      </c>
      <c r="AP148" s="531">
        <f>SUM(AP131:AP147)</f>
        <v>17</v>
      </c>
      <c r="AQ148" s="531">
        <f>SUM(AQ131:AQ147)</f>
        <v>3</v>
      </c>
      <c r="AR148" s="531">
        <f>SUM(AR131:AR147)</f>
        <v>12</v>
      </c>
      <c r="AS148" s="531">
        <f>SUM(AS131:AS147)</f>
        <v>14</v>
      </c>
      <c r="AT148" s="541">
        <f>SUM(AP148:AS148)</f>
        <v>46</v>
      </c>
      <c r="AU148" s="607"/>
      <c r="AV148" s="541">
        <f>SUM(AW148:AZ148)</f>
        <v>50</v>
      </c>
      <c r="AW148" s="531">
        <f>SUM(AW131:AW147)</f>
        <v>21</v>
      </c>
      <c r="AX148" s="531">
        <f>SUM(AX131:AX147)</f>
        <v>6</v>
      </c>
      <c r="AY148" s="531">
        <f>SUM(AY131:AY147)</f>
        <v>18</v>
      </c>
      <c r="AZ148" s="540">
        <f>SUM(AZ131:AZ147)</f>
        <v>5</v>
      </c>
      <c r="BA148" s="604"/>
      <c r="BB148" s="539" t="s">
        <v>3</v>
      </c>
      <c r="BC148" s="531">
        <f>SUM(BC131:BC147)</f>
        <v>20</v>
      </c>
      <c r="BD148" s="531">
        <f>SUM(BD131:BD147)</f>
        <v>17</v>
      </c>
      <c r="BE148" s="531">
        <f>SUM(BE131:BE147)</f>
        <v>3</v>
      </c>
      <c r="BF148" s="531">
        <f>SUM(BF131:BF147)</f>
        <v>9</v>
      </c>
      <c r="BG148" s="541">
        <f>SUM(BC148:BF148)</f>
        <v>49</v>
      </c>
      <c r="BH148" s="607"/>
      <c r="BI148" s="541">
        <f>SUM(BJ148:BM148)</f>
        <v>50</v>
      </c>
      <c r="BJ148" s="531">
        <f>SUM(BJ131:BJ147)</f>
        <v>21</v>
      </c>
      <c r="BK148" s="531">
        <f>SUM(BK131:BK147)</f>
        <v>0</v>
      </c>
      <c r="BL148" s="531">
        <f>SUM(BL131:BL147)</f>
        <v>13</v>
      </c>
      <c r="BM148" s="540">
        <f>SUM(BM131:BM147)</f>
        <v>16</v>
      </c>
      <c r="BN148" s="604"/>
      <c r="BO148" s="536"/>
      <c r="BP148" s="518"/>
      <c r="BQ148" s="518"/>
      <c r="BR148" s="518"/>
      <c r="BS148" s="518"/>
      <c r="BT148" s="537"/>
      <c r="BU148" s="604"/>
      <c r="BV148" s="537"/>
      <c r="BW148" s="518"/>
      <c r="BX148" s="518"/>
      <c r="BY148" s="518"/>
      <c r="BZ148" s="518"/>
      <c r="CA148" s="604"/>
    </row>
    <row r="149" spans="1:79" ht="15">
      <c r="A149" s="1537"/>
      <c r="B149" s="542" t="s">
        <v>4</v>
      </c>
      <c r="C149" s="532">
        <f>COUNTA(C131:C147)</f>
        <v>2</v>
      </c>
      <c r="D149" s="532">
        <f>COUNTA(D131:D147)</f>
        <v>2</v>
      </c>
      <c r="E149" s="532">
        <f>COUNTA(E131:E147)</f>
        <v>2</v>
      </c>
      <c r="F149" s="532">
        <f>COUNTA(F131:F147)</f>
        <v>2</v>
      </c>
      <c r="G149" s="541">
        <f>SUM(C149:F149)</f>
        <v>8</v>
      </c>
      <c r="H149" s="607"/>
      <c r="I149" s="541">
        <f>SUM(J149:M149)</f>
        <v>8</v>
      </c>
      <c r="J149" s="532">
        <f>COUNTA(J131:J147)</f>
        <v>2</v>
      </c>
      <c r="K149" s="532">
        <f>COUNTA(K131:K147)</f>
        <v>2</v>
      </c>
      <c r="L149" s="532">
        <f>COUNTA(L131:L147)</f>
        <v>2</v>
      </c>
      <c r="M149" s="532">
        <f>COUNTA(M131:M147)</f>
        <v>2</v>
      </c>
      <c r="N149" s="604"/>
      <c r="O149" s="542" t="s">
        <v>4</v>
      </c>
      <c r="P149" s="532">
        <f>COUNTA(P131:P147)</f>
        <v>3</v>
      </c>
      <c r="Q149" s="532">
        <f>COUNTA(Q131:Q147)</f>
        <v>3</v>
      </c>
      <c r="R149" s="532">
        <f>COUNTA(R131:R147)</f>
        <v>2</v>
      </c>
      <c r="S149" s="532">
        <f>COUNTA(S131:S147)</f>
        <v>2</v>
      </c>
      <c r="T149" s="541">
        <f>SUM(P149:S149)</f>
        <v>10</v>
      </c>
      <c r="U149" s="607"/>
      <c r="V149" s="541">
        <f>SUM(W149:Z149)</f>
        <v>10</v>
      </c>
      <c r="W149" s="532">
        <f>COUNTA(W131:W147)</f>
        <v>3</v>
      </c>
      <c r="X149" s="532">
        <f>COUNTA(X131:X147)</f>
        <v>3</v>
      </c>
      <c r="Y149" s="532">
        <f>COUNTA(Y131:Y147)</f>
        <v>2</v>
      </c>
      <c r="Z149" s="532">
        <f>COUNTA(Z131:Z147)</f>
        <v>2</v>
      </c>
      <c r="AA149" s="604"/>
      <c r="AB149" s="542" t="s">
        <v>4</v>
      </c>
      <c r="AC149" s="532">
        <f>COUNTA(AC131:AC147)</f>
        <v>4</v>
      </c>
      <c r="AD149" s="532">
        <f>COUNTA(AD131:AD147)</f>
        <v>4</v>
      </c>
      <c r="AE149" s="532">
        <f>COUNTA(AE131:AE147)</f>
        <v>3</v>
      </c>
      <c r="AF149" s="532">
        <f>COUNTA(AF131:AF147)</f>
        <v>3</v>
      </c>
      <c r="AG149" s="541">
        <f>SUM(AC149:AF149)</f>
        <v>14</v>
      </c>
      <c r="AH149" s="607"/>
      <c r="AI149" s="541">
        <f>SUM(AJ149:AM149)</f>
        <v>14</v>
      </c>
      <c r="AJ149" s="532">
        <f>COUNTA(AJ131:AJ147)</f>
        <v>4</v>
      </c>
      <c r="AK149" s="532">
        <f>COUNTA(AK131:AK147)</f>
        <v>4</v>
      </c>
      <c r="AL149" s="532">
        <f>COUNTA(AL131:AL147)</f>
        <v>3</v>
      </c>
      <c r="AM149" s="532">
        <f>COUNTA(AM131:AM147)</f>
        <v>3</v>
      </c>
      <c r="AN149" s="604"/>
      <c r="AO149" s="542" t="s">
        <v>4</v>
      </c>
      <c r="AP149" s="532">
        <f>COUNTA(AP131:AP147)</f>
        <v>3</v>
      </c>
      <c r="AQ149" s="532">
        <f>COUNTA(AQ131:AQ147)</f>
        <v>2</v>
      </c>
      <c r="AR149" s="532">
        <f>COUNTA(AR131:AR147)</f>
        <v>2</v>
      </c>
      <c r="AS149" s="532">
        <f>COUNTA(AS131:AS147)</f>
        <v>2</v>
      </c>
      <c r="AT149" s="541">
        <f>SUM(AP149:AS149)</f>
        <v>9</v>
      </c>
      <c r="AU149" s="607"/>
      <c r="AV149" s="541">
        <f>SUM(AW149:AZ149)</f>
        <v>9</v>
      </c>
      <c r="AW149" s="532">
        <f>COUNTA(AW131:AW147)</f>
        <v>3</v>
      </c>
      <c r="AX149" s="532">
        <f>COUNTA(AX131:AX147)</f>
        <v>2</v>
      </c>
      <c r="AY149" s="532">
        <f>COUNTA(AY131:AY147)</f>
        <v>2</v>
      </c>
      <c r="AZ149" s="532">
        <f>COUNTA(AZ131:AZ147)</f>
        <v>2</v>
      </c>
      <c r="BA149" s="604"/>
      <c r="BB149" s="542" t="s">
        <v>4</v>
      </c>
      <c r="BC149" s="532">
        <f>COUNTA(BC131:BC147)</f>
        <v>4</v>
      </c>
      <c r="BD149" s="532">
        <f>COUNTA(BD131:BD147)</f>
        <v>4</v>
      </c>
      <c r="BE149" s="532">
        <f>COUNTA(BE131:BE147)</f>
        <v>4</v>
      </c>
      <c r="BF149" s="532">
        <f>COUNTA(BF131:BF147)</f>
        <v>4</v>
      </c>
      <c r="BG149" s="541">
        <f>SUM(BC149:BF149)</f>
        <v>16</v>
      </c>
      <c r="BH149" s="607"/>
      <c r="BI149" s="541">
        <f>SUM(BJ149:BM149)</f>
        <v>16</v>
      </c>
      <c r="BJ149" s="532">
        <f>COUNTA(BJ131:BJ147)</f>
        <v>4</v>
      </c>
      <c r="BK149" s="532">
        <f>COUNTA(BK131:BK147)</f>
        <v>4</v>
      </c>
      <c r="BL149" s="532">
        <f>COUNTA(BL131:BL147)</f>
        <v>4</v>
      </c>
      <c r="BM149" s="532">
        <f>COUNTA(BM131:BM147)</f>
        <v>4</v>
      </c>
      <c r="BN149" s="604"/>
      <c r="BO149" s="536"/>
      <c r="BP149" s="538"/>
      <c r="BQ149" s="538"/>
      <c r="BR149" s="538"/>
      <c r="BS149" s="538"/>
      <c r="BT149" s="537"/>
      <c r="BU149" s="604"/>
      <c r="BV149" s="537"/>
      <c r="BW149" s="520"/>
      <c r="BX149" s="520"/>
      <c r="BY149" s="520"/>
      <c r="BZ149" s="520"/>
      <c r="CA149" s="604"/>
    </row>
    <row r="150" spans="1:79" ht="15">
      <c r="A150" s="1537"/>
      <c r="B150" s="539" t="s">
        <v>6</v>
      </c>
      <c r="C150" s="531">
        <f>C149-COUNT(C131:C147)</f>
        <v>1</v>
      </c>
      <c r="D150" s="531">
        <f>D149-COUNT(D131:D147)</f>
        <v>0</v>
      </c>
      <c r="E150" s="531">
        <f>E149-COUNT(E131:E147)</f>
        <v>0</v>
      </c>
      <c r="F150" s="531">
        <f>F149-COUNT(F131:F147)</f>
        <v>2</v>
      </c>
      <c r="G150" s="541">
        <f>SUM(C150:F150)</f>
        <v>3</v>
      </c>
      <c r="H150" s="607"/>
      <c r="I150" s="541">
        <f>SUM(J150:M150)</f>
        <v>1</v>
      </c>
      <c r="J150" s="531">
        <f>J149-COUNT(J131:J147)</f>
        <v>0</v>
      </c>
      <c r="K150" s="540">
        <f>K149-COUNT(K131:K147)</f>
        <v>0</v>
      </c>
      <c r="L150" s="540">
        <f>L149-COUNT(L131:L147)</f>
        <v>1</v>
      </c>
      <c r="M150" s="531">
        <f>M149-COUNT(M131:M147)</f>
        <v>0</v>
      </c>
      <c r="N150" s="604"/>
      <c r="O150" s="539" t="s">
        <v>6</v>
      </c>
      <c r="P150" s="531">
        <f>P149-COUNT(P131:P147)</f>
        <v>0</v>
      </c>
      <c r="Q150" s="531">
        <f>Q149-COUNT(Q131:Q147)</f>
        <v>0</v>
      </c>
      <c r="R150" s="531">
        <f>R149-COUNT(R131:R147)</f>
        <v>1</v>
      </c>
      <c r="S150" s="531">
        <f>S149-COUNT(S131:S147)</f>
        <v>0</v>
      </c>
      <c r="T150" s="541">
        <f>SUM(P150:S150)</f>
        <v>1</v>
      </c>
      <c r="U150" s="607"/>
      <c r="V150" s="541">
        <f>SUM(W150:Z150)</f>
        <v>1</v>
      </c>
      <c r="W150" s="531">
        <f>W149-COUNT(W131:W147)</f>
        <v>1</v>
      </c>
      <c r="X150" s="540">
        <f>X149-COUNT(X131:X147)</f>
        <v>0</v>
      </c>
      <c r="Y150" s="540">
        <f>Y149-COUNT(Y131:Y147)</f>
        <v>0</v>
      </c>
      <c r="Z150" s="531">
        <f>Z149-COUNT(Z131:Z147)</f>
        <v>0</v>
      </c>
      <c r="AA150" s="604"/>
      <c r="AB150" s="539" t="s">
        <v>6</v>
      </c>
      <c r="AC150" s="531">
        <f>AC149-COUNT(AC131:AC147)</f>
        <v>2</v>
      </c>
      <c r="AD150" s="531">
        <f>AD149-COUNT(AD131:AD147)</f>
        <v>2</v>
      </c>
      <c r="AE150" s="531">
        <f>AE149-COUNT(AE131:AE147)</f>
        <v>0</v>
      </c>
      <c r="AF150" s="531">
        <f>AF149-COUNT(AF131:AF147)</f>
        <v>1</v>
      </c>
      <c r="AG150" s="541">
        <f>SUM(AC150:AF150)</f>
        <v>5</v>
      </c>
      <c r="AH150" s="607"/>
      <c r="AI150" s="541">
        <f>SUM(AJ150:AM150)</f>
        <v>3</v>
      </c>
      <c r="AJ150" s="531">
        <f>AJ149-COUNT(AJ131:AJ147)</f>
        <v>1</v>
      </c>
      <c r="AK150" s="540">
        <f>AK149-COUNT(AK131:AK147)</f>
        <v>1</v>
      </c>
      <c r="AL150" s="540">
        <f>AL149-COUNT(AL131:AL147)</f>
        <v>0</v>
      </c>
      <c r="AM150" s="531">
        <f>AM149-COUNT(AM131:AM147)</f>
        <v>1</v>
      </c>
      <c r="AN150" s="604"/>
      <c r="AO150" s="539" t="s">
        <v>6</v>
      </c>
      <c r="AP150" s="531">
        <f>AP149-COUNT(AP131:AP147)</f>
        <v>0</v>
      </c>
      <c r="AQ150" s="531">
        <f>AQ149-COUNT(AQ131:AQ147)</f>
        <v>1</v>
      </c>
      <c r="AR150" s="531">
        <f>AR149-COUNT(AR131:AR147)</f>
        <v>1</v>
      </c>
      <c r="AS150" s="531">
        <f>AS149-COUNT(AS131:AS147)</f>
        <v>0</v>
      </c>
      <c r="AT150" s="541">
        <f>SUM(AP150:AS150)</f>
        <v>2</v>
      </c>
      <c r="AU150" s="607"/>
      <c r="AV150" s="541">
        <f>SUM(AW150:AZ150)</f>
        <v>1</v>
      </c>
      <c r="AW150" s="531">
        <f>AW149-COUNT(AW131:AW147)</f>
        <v>0</v>
      </c>
      <c r="AX150" s="540">
        <f>AX149-COUNT(AX131:AX147)</f>
        <v>0</v>
      </c>
      <c r="AY150" s="540">
        <f>AY149-COUNT(AY131:AY147)</f>
        <v>0</v>
      </c>
      <c r="AZ150" s="531">
        <f>AZ149-COUNT(AZ131:AZ147)</f>
        <v>1</v>
      </c>
      <c r="BA150" s="604"/>
      <c r="BB150" s="539" t="s">
        <v>6</v>
      </c>
      <c r="BC150" s="531">
        <f>BC149-COUNT(BC131:BC147)</f>
        <v>1</v>
      </c>
      <c r="BD150" s="531">
        <f>BD149-COUNT(BD131:BD147)</f>
        <v>1</v>
      </c>
      <c r="BE150" s="531">
        <f>BE149-COUNT(BE131:BE147)</f>
        <v>2</v>
      </c>
      <c r="BF150" s="531">
        <f>BF149-COUNT(BF131:BF147)</f>
        <v>2</v>
      </c>
      <c r="BG150" s="541">
        <f>SUM(BC150:BF150)</f>
        <v>6</v>
      </c>
      <c r="BH150" s="607"/>
      <c r="BI150" s="541">
        <f>SUM(BJ150:BM150)</f>
        <v>6</v>
      </c>
      <c r="BJ150" s="531">
        <f>BJ149-COUNT(BJ131:BJ147)</f>
        <v>0</v>
      </c>
      <c r="BK150" s="540">
        <f>BK149-COUNT(BK131:BK147)</f>
        <v>4</v>
      </c>
      <c r="BL150" s="540">
        <f>BL149-COUNT(BL131:BL147)</f>
        <v>1</v>
      </c>
      <c r="BM150" s="531">
        <f>BM149-COUNT(BM131:BM147)</f>
        <v>1</v>
      </c>
      <c r="BN150" s="604"/>
      <c r="BO150" s="536"/>
      <c r="BP150" s="543"/>
      <c r="BQ150" s="545"/>
      <c r="BR150" s="545"/>
      <c r="BS150" s="545"/>
      <c r="BT150" s="544"/>
      <c r="BU150" s="604"/>
      <c r="BV150" s="544"/>
      <c r="BW150" s="543"/>
      <c r="BX150" s="543"/>
      <c r="BY150" s="543"/>
      <c r="BZ150" s="543"/>
      <c r="CA150" s="604"/>
    </row>
    <row r="151" spans="1:79" ht="15">
      <c r="A151" s="1537"/>
      <c r="B151" s="539" t="s">
        <v>12</v>
      </c>
      <c r="C151" s="549">
        <f>C150/C149</f>
        <v>0.5</v>
      </c>
      <c r="D151" s="546">
        <f>D150/D149</f>
        <v>0</v>
      </c>
      <c r="E151" s="546">
        <f>E150/E149</f>
        <v>0</v>
      </c>
      <c r="F151" s="546">
        <f>F150/F149</f>
        <v>1</v>
      </c>
      <c r="G151" s="548">
        <f>G150/G149</f>
        <v>0.375</v>
      </c>
      <c r="H151" s="607"/>
      <c r="I151" s="548">
        <f>I150/I149</f>
        <v>0.125</v>
      </c>
      <c r="J151" s="546">
        <f>J150/J149</f>
        <v>0</v>
      </c>
      <c r="K151" s="547">
        <f>K150/K149</f>
        <v>0</v>
      </c>
      <c r="L151" s="547">
        <f>L150/L149</f>
        <v>0.5</v>
      </c>
      <c r="M151" s="546">
        <f>M150/M149</f>
        <v>0</v>
      </c>
      <c r="N151" s="604"/>
      <c r="O151" s="539" t="s">
        <v>12</v>
      </c>
      <c r="P151" s="549">
        <f>P150/P149</f>
        <v>0</v>
      </c>
      <c r="Q151" s="546">
        <f>Q150/Q149</f>
        <v>0</v>
      </c>
      <c r="R151" s="546">
        <f>R150/R149</f>
        <v>0.5</v>
      </c>
      <c r="S151" s="546">
        <f>S150/S149</f>
        <v>0</v>
      </c>
      <c r="T151" s="548">
        <f>T150/T149</f>
        <v>0.1</v>
      </c>
      <c r="U151" s="607"/>
      <c r="V151" s="548">
        <f>V150/V149</f>
        <v>0.1</v>
      </c>
      <c r="W151" s="546">
        <f>W150/W149</f>
        <v>0.33333333333333331</v>
      </c>
      <c r="X151" s="547">
        <f>X150/X149</f>
        <v>0</v>
      </c>
      <c r="Y151" s="547">
        <f>Y150/Y149</f>
        <v>0</v>
      </c>
      <c r="Z151" s="546">
        <f>Z150/Z149</f>
        <v>0</v>
      </c>
      <c r="AA151" s="604"/>
      <c r="AB151" s="539" t="s">
        <v>12</v>
      </c>
      <c r="AC151" s="549">
        <f>AC150/AC149</f>
        <v>0.5</v>
      </c>
      <c r="AD151" s="546">
        <f>AD150/AD149</f>
        <v>0.5</v>
      </c>
      <c r="AE151" s="546">
        <f>AE150/AE149</f>
        <v>0</v>
      </c>
      <c r="AF151" s="546">
        <f>AF150/AF149</f>
        <v>0.33333333333333331</v>
      </c>
      <c r="AG151" s="548">
        <f>AG150/AG149</f>
        <v>0.35714285714285715</v>
      </c>
      <c r="AH151" s="607"/>
      <c r="AI151" s="548">
        <f>AI150/AI149</f>
        <v>0.21428571428571427</v>
      </c>
      <c r="AJ151" s="546">
        <f>AJ150/AJ149</f>
        <v>0.25</v>
      </c>
      <c r="AK151" s="547">
        <f>AK150/AK149</f>
        <v>0.25</v>
      </c>
      <c r="AL151" s="547">
        <f>AL150/AL149</f>
        <v>0</v>
      </c>
      <c r="AM151" s="546">
        <f>AM150/AM149</f>
        <v>0.33333333333333331</v>
      </c>
      <c r="AN151" s="604"/>
      <c r="AO151" s="539" t="s">
        <v>12</v>
      </c>
      <c r="AP151" s="549">
        <f>AP150/AP149</f>
        <v>0</v>
      </c>
      <c r="AQ151" s="546">
        <f>AQ150/AQ149</f>
        <v>0.5</v>
      </c>
      <c r="AR151" s="546">
        <f>AR150/AR149</f>
        <v>0.5</v>
      </c>
      <c r="AS151" s="546">
        <f>AS150/AS149</f>
        <v>0</v>
      </c>
      <c r="AT151" s="548">
        <f>AT150/AT149</f>
        <v>0.22222222222222221</v>
      </c>
      <c r="AU151" s="607"/>
      <c r="AV151" s="548">
        <f>AV150/AV149</f>
        <v>0.1111111111111111</v>
      </c>
      <c r="AW151" s="546">
        <f>AW150/AW149</f>
        <v>0</v>
      </c>
      <c r="AX151" s="547">
        <f>AX150/AX149</f>
        <v>0</v>
      </c>
      <c r="AY151" s="547">
        <f>AY150/AY149</f>
        <v>0</v>
      </c>
      <c r="AZ151" s="546">
        <f>AZ150/AZ149</f>
        <v>0.5</v>
      </c>
      <c r="BA151" s="604"/>
      <c r="BB151" s="539" t="s">
        <v>12</v>
      </c>
      <c r="BC151" s="549">
        <f>BC150/BC149</f>
        <v>0.25</v>
      </c>
      <c r="BD151" s="546">
        <f>BD150/BD149</f>
        <v>0.25</v>
      </c>
      <c r="BE151" s="546">
        <f>BE150/BE149</f>
        <v>0.5</v>
      </c>
      <c r="BF151" s="546">
        <f>BF150/BF149</f>
        <v>0.5</v>
      </c>
      <c r="BG151" s="548">
        <f>BG150/BG149</f>
        <v>0.375</v>
      </c>
      <c r="BH151" s="607"/>
      <c r="BI151" s="548">
        <f>BI150/BI149</f>
        <v>0.375</v>
      </c>
      <c r="BJ151" s="546">
        <f>BJ150/BJ149</f>
        <v>0</v>
      </c>
      <c r="BK151" s="547">
        <f>BK150/BK149</f>
        <v>1</v>
      </c>
      <c r="BL151" s="547">
        <f>BL150/BL149</f>
        <v>0.25</v>
      </c>
      <c r="BM151" s="546">
        <f>BM150/BM149</f>
        <v>0.25</v>
      </c>
      <c r="BN151" s="604"/>
      <c r="BO151" s="536"/>
      <c r="BP151" s="550"/>
      <c r="BQ151" s="552"/>
      <c r="BR151" s="552"/>
      <c r="BS151" s="550"/>
      <c r="BT151" s="551"/>
      <c r="BU151" s="604"/>
      <c r="BV151" s="551"/>
      <c r="BW151" s="550"/>
      <c r="BX151" s="550"/>
      <c r="BY151" s="550"/>
      <c r="BZ151" s="550"/>
      <c r="CA151" s="604"/>
    </row>
    <row r="152" spans="1:79" ht="15">
      <c r="A152" s="1537"/>
      <c r="B152" s="539" t="s">
        <v>5</v>
      </c>
      <c r="C152" s="553">
        <f>C148/C149</f>
        <v>5</v>
      </c>
      <c r="D152" s="553">
        <f>D148/D149</f>
        <v>3</v>
      </c>
      <c r="E152" s="553">
        <f>E148/E149</f>
        <v>3.5</v>
      </c>
      <c r="F152" s="553">
        <f>F148/F149</f>
        <v>0</v>
      </c>
      <c r="G152" s="555">
        <f>G148/G149</f>
        <v>2.875</v>
      </c>
      <c r="H152" s="607"/>
      <c r="I152" s="555">
        <f>I148/I149</f>
        <v>6.25</v>
      </c>
      <c r="J152" s="553">
        <f>J148/J149</f>
        <v>11</v>
      </c>
      <c r="K152" s="553">
        <f>K148/K149</f>
        <v>8.5</v>
      </c>
      <c r="L152" s="553">
        <f>L148/L149</f>
        <v>0.5</v>
      </c>
      <c r="M152" s="554">
        <f>M148/M149</f>
        <v>5</v>
      </c>
      <c r="N152" s="604"/>
      <c r="O152" s="539" t="s">
        <v>5</v>
      </c>
      <c r="P152" s="553">
        <f>P148/P149</f>
        <v>6</v>
      </c>
      <c r="Q152" s="553">
        <f>Q148/Q149</f>
        <v>7</v>
      </c>
      <c r="R152" s="553">
        <f>R148/R149</f>
        <v>1.5</v>
      </c>
      <c r="S152" s="553">
        <f>S148/S149</f>
        <v>3</v>
      </c>
      <c r="T152" s="555">
        <f>T148/T149</f>
        <v>4.8</v>
      </c>
      <c r="U152" s="607"/>
      <c r="V152" s="555">
        <f>V148/V149</f>
        <v>5</v>
      </c>
      <c r="W152" s="553">
        <f>W148/W149</f>
        <v>5</v>
      </c>
      <c r="X152" s="553">
        <f>X148/X149</f>
        <v>5.333333333333333</v>
      </c>
      <c r="Y152" s="553">
        <f>Y148/Y149</f>
        <v>5.5</v>
      </c>
      <c r="Z152" s="554">
        <f>Z148/Z149</f>
        <v>4</v>
      </c>
      <c r="AA152" s="604"/>
      <c r="AB152" s="539" t="s">
        <v>5</v>
      </c>
      <c r="AC152" s="553">
        <f>AC148/AC149</f>
        <v>2</v>
      </c>
      <c r="AD152" s="553">
        <f>AD148/AD149</f>
        <v>3.25</v>
      </c>
      <c r="AE152" s="553">
        <f>AE148/AE149</f>
        <v>7.333333333333333</v>
      </c>
      <c r="AF152" s="553">
        <f>AF148/AF149</f>
        <v>2</v>
      </c>
      <c r="AG152" s="555">
        <f>AG148/AG149</f>
        <v>3.5</v>
      </c>
      <c r="AH152" s="607"/>
      <c r="AI152" s="555">
        <f>AI148/AI149</f>
        <v>3.5714285714285716</v>
      </c>
      <c r="AJ152" s="553">
        <f>AJ148/AJ149</f>
        <v>3</v>
      </c>
      <c r="AK152" s="553">
        <f>AK148/AK149</f>
        <v>3</v>
      </c>
      <c r="AL152" s="553">
        <f>AL148/AL149</f>
        <v>4.666666666666667</v>
      </c>
      <c r="AM152" s="554">
        <f>AM148/AM149</f>
        <v>4</v>
      </c>
      <c r="AN152" s="604"/>
      <c r="AO152" s="539" t="s">
        <v>5</v>
      </c>
      <c r="AP152" s="553">
        <f>AP148/AP149</f>
        <v>5.666666666666667</v>
      </c>
      <c r="AQ152" s="553">
        <f>AQ148/AQ149</f>
        <v>1.5</v>
      </c>
      <c r="AR152" s="553">
        <f>AR148/AR149</f>
        <v>6</v>
      </c>
      <c r="AS152" s="553">
        <f>AS148/AS149</f>
        <v>7</v>
      </c>
      <c r="AT152" s="555">
        <f>AT148/AT149</f>
        <v>5.1111111111111107</v>
      </c>
      <c r="AU152" s="607"/>
      <c r="AV152" s="555">
        <f>AV148/AV149</f>
        <v>5.5555555555555554</v>
      </c>
      <c r="AW152" s="553">
        <f>AW148/AW149</f>
        <v>7</v>
      </c>
      <c r="AX152" s="553">
        <f>AX148/AX149</f>
        <v>3</v>
      </c>
      <c r="AY152" s="553">
        <f>AY148/AY149</f>
        <v>9</v>
      </c>
      <c r="AZ152" s="554">
        <f>AZ148/AZ149</f>
        <v>2.5</v>
      </c>
      <c r="BA152" s="604"/>
      <c r="BB152" s="539" t="s">
        <v>5</v>
      </c>
      <c r="BC152" s="553">
        <f>BC148/BC149</f>
        <v>5</v>
      </c>
      <c r="BD152" s="553">
        <f>BD148/BD149</f>
        <v>4.25</v>
      </c>
      <c r="BE152" s="553">
        <f>BE148/BE149</f>
        <v>0.75</v>
      </c>
      <c r="BF152" s="553">
        <f>BF148/BF149</f>
        <v>2.25</v>
      </c>
      <c r="BG152" s="555">
        <f>BG148/BG149</f>
        <v>3.0625</v>
      </c>
      <c r="BH152" s="607"/>
      <c r="BI152" s="555">
        <f>BI148/BI149</f>
        <v>3.125</v>
      </c>
      <c r="BJ152" s="553">
        <f>BJ148/BJ149</f>
        <v>5.25</v>
      </c>
      <c r="BK152" s="553">
        <f>BK148/BK149</f>
        <v>0</v>
      </c>
      <c r="BL152" s="553">
        <f>BL148/BL149</f>
        <v>3.25</v>
      </c>
      <c r="BM152" s="554">
        <f>BM148/BM149</f>
        <v>4</v>
      </c>
      <c r="BN152" s="604"/>
      <c r="BO152" s="536"/>
      <c r="BP152" s="550"/>
      <c r="BQ152" s="552"/>
      <c r="BR152" s="552"/>
      <c r="BS152" s="556"/>
      <c r="BT152" s="557"/>
      <c r="BU152" s="604"/>
      <c r="BV152" s="557"/>
      <c r="BW152" s="556"/>
      <c r="BX152" s="556"/>
      <c r="BY152" s="556"/>
      <c r="BZ152" s="556"/>
      <c r="CA152" s="604"/>
    </row>
    <row r="153" spans="1:79" ht="15">
      <c r="A153" s="1537"/>
      <c r="B153" s="539" t="s">
        <v>8</v>
      </c>
      <c r="C153" s="558">
        <f>C148/(C149-C150)</f>
        <v>10</v>
      </c>
      <c r="D153" s="558">
        <f>D148/(D149-D150)</f>
        <v>3</v>
      </c>
      <c r="E153" s="558">
        <f>E148/(E149-E150)</f>
        <v>3.5</v>
      </c>
      <c r="F153" s="660">
        <v>0</v>
      </c>
      <c r="G153" s="559">
        <f>G148/(G149-G150)</f>
        <v>4.5999999999999996</v>
      </c>
      <c r="H153" s="607"/>
      <c r="I153" s="559">
        <f>I148/(I149-I150)</f>
        <v>7.1428571428571432</v>
      </c>
      <c r="J153" s="558">
        <f>J148/(J149-J150)</f>
        <v>11</v>
      </c>
      <c r="K153" s="553">
        <f>K148/(K149-K150)</f>
        <v>8.5</v>
      </c>
      <c r="L153" s="553">
        <f>L148/(L149-L150)</f>
        <v>1</v>
      </c>
      <c r="M153" s="554">
        <f>M148/(M149-M150)</f>
        <v>5</v>
      </c>
      <c r="N153" s="604"/>
      <c r="O153" s="539" t="s">
        <v>8</v>
      </c>
      <c r="P153" s="558">
        <f>P148/(P149-P150)</f>
        <v>6</v>
      </c>
      <c r="Q153" s="558">
        <f>Q148/(Q149-Q150)</f>
        <v>7</v>
      </c>
      <c r="R153" s="558">
        <f>R148/(R149-R150)</f>
        <v>3</v>
      </c>
      <c r="S153" s="558">
        <f>S148/(S149-S150)</f>
        <v>3</v>
      </c>
      <c r="T153" s="559">
        <f>T148/(T149-T150)</f>
        <v>5.333333333333333</v>
      </c>
      <c r="U153" s="607"/>
      <c r="V153" s="559">
        <f>V148/(V149-V150)</f>
        <v>5.5555555555555554</v>
      </c>
      <c r="W153" s="558">
        <f>W148/(W149-W150)</f>
        <v>7.5</v>
      </c>
      <c r="X153" s="553">
        <f>X148/(X149-X150)</f>
        <v>5.333333333333333</v>
      </c>
      <c r="Y153" s="553">
        <f>Y148/(Y149-Y150)</f>
        <v>5.5</v>
      </c>
      <c r="Z153" s="554">
        <f>Z148/(Z149-Z150)</f>
        <v>4</v>
      </c>
      <c r="AA153" s="604"/>
      <c r="AB153" s="539" t="s">
        <v>8</v>
      </c>
      <c r="AC153" s="558">
        <f>AC148/(AC149-AC150)</f>
        <v>4</v>
      </c>
      <c r="AD153" s="558">
        <f>AD148/(AD149-AD150)</f>
        <v>6.5</v>
      </c>
      <c r="AE153" s="558">
        <f>AE148/(AE149-AE150)</f>
        <v>7.333333333333333</v>
      </c>
      <c r="AF153" s="558">
        <f>AF148/(AF149-AF150)</f>
        <v>3</v>
      </c>
      <c r="AG153" s="559">
        <f>AG148/(AG149-AG150)</f>
        <v>5.4444444444444446</v>
      </c>
      <c r="AH153" s="607"/>
      <c r="AI153" s="559">
        <f>AI148/(AI149-AI150)</f>
        <v>4.5454545454545459</v>
      </c>
      <c r="AJ153" s="558">
        <f>AJ148/(AJ149-AJ150)</f>
        <v>4</v>
      </c>
      <c r="AK153" s="553">
        <f>AK148/(AK149-AK150)</f>
        <v>4</v>
      </c>
      <c r="AL153" s="553">
        <f>AL148/(AL149-AL150)</f>
        <v>4.666666666666667</v>
      </c>
      <c r="AM153" s="554">
        <f>AM148/(AM149-AM150)</f>
        <v>6</v>
      </c>
      <c r="AN153" s="604"/>
      <c r="AO153" s="539" t="s">
        <v>8</v>
      </c>
      <c r="AP153" s="558">
        <f>AP148/(AP149-AP150)</f>
        <v>5.666666666666667</v>
      </c>
      <c r="AQ153" s="558">
        <f>AQ148/(AQ149-AQ150)</f>
        <v>3</v>
      </c>
      <c r="AR153" s="558">
        <f>AR148/(AR149-AR150)</f>
        <v>12</v>
      </c>
      <c r="AS153" s="558">
        <f>AS148/(AS149-AS150)</f>
        <v>7</v>
      </c>
      <c r="AT153" s="559">
        <f>AT148/(AT149-AT150)</f>
        <v>6.5714285714285712</v>
      </c>
      <c r="AU153" s="607"/>
      <c r="AV153" s="559">
        <f>AV148/(AV149-AV150)</f>
        <v>6.25</v>
      </c>
      <c r="AW153" s="558">
        <f>AW148/(AW149-AW150)</f>
        <v>7</v>
      </c>
      <c r="AX153" s="553">
        <f>AX148/(AX149-AX150)</f>
        <v>3</v>
      </c>
      <c r="AY153" s="553">
        <f>AY148/(AY149-AY150)</f>
        <v>9</v>
      </c>
      <c r="AZ153" s="554">
        <f>AZ148/(AZ149-AZ150)</f>
        <v>5</v>
      </c>
      <c r="BA153" s="604"/>
      <c r="BB153" s="539" t="s">
        <v>8</v>
      </c>
      <c r="BC153" s="558">
        <f>BC148/(BC149-BC150)</f>
        <v>6.666666666666667</v>
      </c>
      <c r="BD153" s="558">
        <f>BD148/(BD149-BD150)</f>
        <v>5.666666666666667</v>
      </c>
      <c r="BE153" s="558">
        <f>BE148/(BE149-BE150)</f>
        <v>1.5</v>
      </c>
      <c r="BF153" s="558">
        <f>BF148/(BF149-BF150)</f>
        <v>4.5</v>
      </c>
      <c r="BG153" s="559">
        <f>BG148/(BG149-BG150)</f>
        <v>4.9000000000000004</v>
      </c>
      <c r="BH153" s="607"/>
      <c r="BI153" s="559">
        <f>BI148/(BI149-BI150)</f>
        <v>5</v>
      </c>
      <c r="BJ153" s="558">
        <f>BJ148/(BJ149-BJ150)</f>
        <v>5.25</v>
      </c>
      <c r="BK153" s="662">
        <v>0</v>
      </c>
      <c r="BL153" s="553">
        <f>BL148/(BL149-BL150)</f>
        <v>4.333333333333333</v>
      </c>
      <c r="BM153" s="554">
        <f>BM148/(BM149-BM150)</f>
        <v>5.333333333333333</v>
      </c>
      <c r="BN153" s="604"/>
      <c r="BO153" s="604"/>
      <c r="BP153" s="604"/>
      <c r="BQ153" s="604"/>
      <c r="BR153" s="604"/>
      <c r="BS153" s="604"/>
      <c r="BT153" s="604"/>
      <c r="BU153" s="604"/>
      <c r="BV153" s="604"/>
      <c r="BW153" s="604"/>
      <c r="BX153" s="604"/>
      <c r="BY153" s="604"/>
      <c r="BZ153" s="604"/>
      <c r="CA153" s="604"/>
    </row>
    <row r="154" spans="1:79" ht="15">
      <c r="A154" s="617"/>
      <c r="B154" s="529"/>
      <c r="C154" s="518"/>
      <c r="D154" s="518"/>
      <c r="E154" s="518"/>
      <c r="F154" s="518"/>
      <c r="G154" s="606"/>
      <c r="H154" s="604"/>
      <c r="I154" s="604"/>
      <c r="J154" s="604"/>
      <c r="K154" s="604"/>
      <c r="L154" s="604"/>
      <c r="M154" s="604"/>
      <c r="N154" s="604"/>
      <c r="O154" s="604"/>
      <c r="P154" s="604"/>
      <c r="Q154" s="604"/>
      <c r="R154" s="604"/>
      <c r="S154" s="604"/>
      <c r="T154" s="604"/>
      <c r="U154" s="604"/>
      <c r="V154" s="604"/>
      <c r="W154" s="604"/>
      <c r="X154" s="604"/>
      <c r="Y154" s="604"/>
      <c r="Z154" s="604"/>
      <c r="AA154" s="604"/>
      <c r="AB154" s="604"/>
      <c r="AC154" s="604"/>
      <c r="AD154" s="604"/>
      <c r="AE154" s="604"/>
      <c r="AF154" s="604"/>
      <c r="AG154" s="604"/>
      <c r="AH154" s="604"/>
      <c r="AI154" s="604"/>
      <c r="AJ154" s="604"/>
      <c r="AK154" s="604"/>
      <c r="AL154" s="604"/>
      <c r="AM154" s="604"/>
      <c r="AN154" s="604"/>
      <c r="AO154" s="604"/>
      <c r="AP154" s="604"/>
      <c r="AQ154" s="604"/>
      <c r="AR154" s="604"/>
      <c r="AS154" s="604"/>
      <c r="AT154" s="604"/>
      <c r="AU154" s="604"/>
      <c r="AV154" s="604"/>
      <c r="AW154" s="604"/>
      <c r="AX154" s="604"/>
      <c r="AY154" s="604"/>
      <c r="AZ154" s="604"/>
      <c r="BA154" s="604"/>
      <c r="BB154" s="604"/>
      <c r="BC154" s="604"/>
      <c r="BD154" s="604"/>
      <c r="BE154" s="604"/>
      <c r="BF154" s="604"/>
      <c r="BG154" s="604"/>
      <c r="BH154" s="604"/>
      <c r="BI154" s="604"/>
      <c r="BJ154" s="604"/>
      <c r="BK154" s="604"/>
      <c r="BL154" s="604"/>
      <c r="BM154" s="604"/>
      <c r="BN154" s="604"/>
      <c r="BO154" s="604"/>
      <c r="BP154" s="604"/>
      <c r="BQ154" s="604"/>
      <c r="BR154" s="604"/>
      <c r="BS154" s="604"/>
      <c r="BT154" s="604"/>
      <c r="BU154" s="604"/>
      <c r="BV154" s="604"/>
      <c r="BW154" s="604"/>
      <c r="BX154" s="604"/>
      <c r="BY154" s="604"/>
      <c r="BZ154" s="604"/>
      <c r="CA154" s="604"/>
    </row>
  </sheetData>
  <mergeCells count="72">
    <mergeCell ref="AW50:AZ50"/>
    <mergeCell ref="A73:A102"/>
    <mergeCell ref="C73:F73"/>
    <mergeCell ref="J73:M73"/>
    <mergeCell ref="P73:S73"/>
    <mergeCell ref="W73:Z73"/>
    <mergeCell ref="AC73:AF73"/>
    <mergeCell ref="AJ73:AM73"/>
    <mergeCell ref="A50:A71"/>
    <mergeCell ref="C50:F50"/>
    <mergeCell ref="J50:M50"/>
    <mergeCell ref="P50:S50"/>
    <mergeCell ref="W50:Z50"/>
    <mergeCell ref="AP50:AS50"/>
    <mergeCell ref="AP27:AS27"/>
    <mergeCell ref="AW27:AZ27"/>
    <mergeCell ref="A2:A25"/>
    <mergeCell ref="P2:S2"/>
    <mergeCell ref="W2:Z2"/>
    <mergeCell ref="AC2:AF2"/>
    <mergeCell ref="AJ2:AM2"/>
    <mergeCell ref="B1:M1"/>
    <mergeCell ref="O1:Z1"/>
    <mergeCell ref="AB1:AM1"/>
    <mergeCell ref="A27:A48"/>
    <mergeCell ref="C27:F27"/>
    <mergeCell ref="J27:M27"/>
    <mergeCell ref="AC27:AF27"/>
    <mergeCell ref="AJ27:AM27"/>
    <mergeCell ref="AC128:AF128"/>
    <mergeCell ref="AJ128:AM128"/>
    <mergeCell ref="AP128:AS128"/>
    <mergeCell ref="AW128:AZ128"/>
    <mergeCell ref="A104:A126"/>
    <mergeCell ref="C104:F104"/>
    <mergeCell ref="J104:M104"/>
    <mergeCell ref="P104:S104"/>
    <mergeCell ref="W104:Z104"/>
    <mergeCell ref="AC104:AF104"/>
    <mergeCell ref="A128:A153"/>
    <mergeCell ref="C128:F128"/>
    <mergeCell ref="J128:M128"/>
    <mergeCell ref="P128:S128"/>
    <mergeCell ref="W128:Z128"/>
    <mergeCell ref="AJ104:AM104"/>
    <mergeCell ref="BC128:BF128"/>
    <mergeCell ref="BJ128:BM128"/>
    <mergeCell ref="BB1:BM1"/>
    <mergeCell ref="BC2:BF2"/>
    <mergeCell ref="BJ2:BM2"/>
    <mergeCell ref="BC27:BF27"/>
    <mergeCell ref="BJ27:BM27"/>
    <mergeCell ref="BC50:BF50"/>
    <mergeCell ref="BJ50:BM50"/>
    <mergeCell ref="BC73:BF73"/>
    <mergeCell ref="BJ73:BM73"/>
    <mergeCell ref="AP104:AS104"/>
    <mergeCell ref="BO1:BZ1"/>
    <mergeCell ref="BP2:BS2"/>
    <mergeCell ref="BW2:BZ2"/>
    <mergeCell ref="BP27:BS27"/>
    <mergeCell ref="BW27:BZ27"/>
    <mergeCell ref="BP50:BS50"/>
    <mergeCell ref="BW50:BZ50"/>
    <mergeCell ref="BP73:BS73"/>
    <mergeCell ref="BW73:BZ73"/>
    <mergeCell ref="BP104:BS104"/>
    <mergeCell ref="BW104:BZ104"/>
    <mergeCell ref="AW104:AZ104"/>
    <mergeCell ref="AO1:AZ1"/>
    <mergeCell ref="AP2:AS2"/>
    <mergeCell ref="AW2:AZ2"/>
  </mergeCells>
  <conditionalFormatting sqref="T5 AT30:AT36">
    <cfRule type="cellIs" dxfId="347" priority="199" operator="lessThan">
      <formula>V5</formula>
    </cfRule>
    <cfRule type="cellIs" dxfId="346" priority="200" operator="greaterThanOrEqual">
      <formula>V5</formula>
    </cfRule>
  </conditionalFormatting>
  <conditionalFormatting sqref="V5 AV30:AV36">
    <cfRule type="cellIs" dxfId="345" priority="197" operator="lessThan">
      <formula>T5</formula>
    </cfRule>
    <cfRule type="cellIs" dxfId="344" priority="198" operator="greaterThanOrEqual">
      <formula>T5</formula>
    </cfRule>
  </conditionalFormatting>
  <conditionalFormatting sqref="T6:T12">
    <cfRule type="cellIs" dxfId="343" priority="195" operator="lessThan">
      <formula>V6</formula>
    </cfRule>
    <cfRule type="cellIs" dxfId="342" priority="196" operator="greaterThanOrEqual">
      <formula>V6</formula>
    </cfRule>
  </conditionalFormatting>
  <conditionalFormatting sqref="V6:V12">
    <cfRule type="cellIs" dxfId="341" priority="193" operator="lessThan">
      <formula>T6</formula>
    </cfRule>
    <cfRule type="cellIs" dxfId="340" priority="194" operator="greaterThanOrEqual">
      <formula>T6</formula>
    </cfRule>
  </conditionalFormatting>
  <conditionalFormatting sqref="AG5 AG12">
    <cfRule type="cellIs" dxfId="339" priority="191" operator="lessThan">
      <formula>AI5</formula>
    </cfRule>
    <cfRule type="cellIs" dxfId="338" priority="192" operator="greaterThanOrEqual">
      <formula>AI5</formula>
    </cfRule>
  </conditionalFormatting>
  <conditionalFormatting sqref="AI5 AI12">
    <cfRule type="cellIs" dxfId="337" priority="189" operator="lessThan">
      <formula>AG5</formula>
    </cfRule>
    <cfRule type="cellIs" dxfId="336" priority="190" operator="greaterThanOrEqual">
      <formula>AG5</formula>
    </cfRule>
  </conditionalFormatting>
  <conditionalFormatting sqref="AG6:AG11 AG13:AG18">
    <cfRule type="cellIs" dxfId="335" priority="187" operator="lessThan">
      <formula>AI6</formula>
    </cfRule>
    <cfRule type="cellIs" dxfId="334" priority="188" operator="greaterThanOrEqual">
      <formula>AI6</formula>
    </cfRule>
  </conditionalFormatting>
  <conditionalFormatting sqref="AI6:AI11 AI13:AI18">
    <cfRule type="cellIs" dxfId="333" priority="185" operator="lessThan">
      <formula>AG6</formula>
    </cfRule>
    <cfRule type="cellIs" dxfId="332" priority="186" operator="greaterThanOrEqual">
      <formula>AG6</formula>
    </cfRule>
  </conditionalFormatting>
  <conditionalFormatting sqref="AT5 AT12">
    <cfRule type="cellIs" dxfId="331" priority="183" operator="lessThan">
      <formula>AV5</formula>
    </cfRule>
    <cfRule type="cellIs" dxfId="330" priority="184" operator="greaterThanOrEqual">
      <formula>AV5</formula>
    </cfRule>
  </conditionalFormatting>
  <conditionalFormatting sqref="AV5 AV12">
    <cfRule type="cellIs" dxfId="329" priority="181" operator="lessThan">
      <formula>AT5</formula>
    </cfRule>
    <cfRule type="cellIs" dxfId="328" priority="182" operator="greaterThanOrEqual">
      <formula>AT5</formula>
    </cfRule>
  </conditionalFormatting>
  <conditionalFormatting sqref="AT6:AT11 AT13">
    <cfRule type="cellIs" dxfId="327" priority="179" operator="lessThan">
      <formula>AV6</formula>
    </cfRule>
    <cfRule type="cellIs" dxfId="326" priority="180" operator="greaterThanOrEqual">
      <formula>AV6</formula>
    </cfRule>
  </conditionalFormatting>
  <conditionalFormatting sqref="AV6:AV11 AV13">
    <cfRule type="cellIs" dxfId="325" priority="177" operator="lessThan">
      <formula>AT6</formula>
    </cfRule>
    <cfRule type="cellIs" dxfId="324" priority="178" operator="greaterThanOrEqual">
      <formula>AT6</formula>
    </cfRule>
  </conditionalFormatting>
  <conditionalFormatting sqref="G30:G38">
    <cfRule type="cellIs" dxfId="323" priority="175" operator="lessThan">
      <formula>I30</formula>
    </cfRule>
    <cfRule type="cellIs" dxfId="322" priority="176" operator="greaterThanOrEqual">
      <formula>I30</formula>
    </cfRule>
  </conditionalFormatting>
  <conditionalFormatting sqref="I30:I38">
    <cfRule type="cellIs" dxfId="321" priority="173" operator="lessThan">
      <formula>G30</formula>
    </cfRule>
    <cfRule type="cellIs" dxfId="320" priority="174" operator="greaterThanOrEqual">
      <formula>G30</formula>
    </cfRule>
  </conditionalFormatting>
  <conditionalFormatting sqref="AG30:AG35">
    <cfRule type="cellIs" dxfId="319" priority="171" operator="lessThan">
      <formula>AI30</formula>
    </cfRule>
    <cfRule type="cellIs" dxfId="318" priority="172" operator="greaterThanOrEqual">
      <formula>AI30</formula>
    </cfRule>
  </conditionalFormatting>
  <conditionalFormatting sqref="AI30:AI35">
    <cfRule type="cellIs" dxfId="317" priority="169" operator="lessThan">
      <formula>AG30</formula>
    </cfRule>
    <cfRule type="cellIs" dxfId="316" priority="170" operator="greaterThanOrEqual">
      <formula>AG30</formula>
    </cfRule>
  </conditionalFormatting>
  <conditionalFormatting sqref="G53:G61">
    <cfRule type="cellIs" dxfId="315" priority="163" operator="lessThan">
      <formula>I53</formula>
    </cfRule>
    <cfRule type="cellIs" dxfId="314" priority="164" operator="greaterThanOrEqual">
      <formula>I53</formula>
    </cfRule>
  </conditionalFormatting>
  <conditionalFormatting sqref="I53:I61">
    <cfRule type="cellIs" dxfId="313" priority="161" operator="lessThan">
      <formula>G53</formula>
    </cfRule>
    <cfRule type="cellIs" dxfId="312" priority="162" operator="greaterThanOrEqual">
      <formula>G53</formula>
    </cfRule>
  </conditionalFormatting>
  <conditionalFormatting sqref="T53:T63">
    <cfRule type="cellIs" dxfId="311" priority="159" operator="lessThan">
      <formula>V53</formula>
    </cfRule>
    <cfRule type="cellIs" dxfId="310" priority="160" operator="greaterThanOrEqual">
      <formula>V53</formula>
    </cfRule>
  </conditionalFormatting>
  <conditionalFormatting sqref="V53:V63">
    <cfRule type="cellIs" dxfId="309" priority="157" operator="lessThan">
      <formula>T53</formula>
    </cfRule>
    <cfRule type="cellIs" dxfId="308" priority="158" operator="greaterThanOrEqual">
      <formula>T53</formula>
    </cfRule>
  </conditionalFormatting>
  <conditionalFormatting sqref="AT53:AT62">
    <cfRule type="cellIs" dxfId="307" priority="155" operator="lessThan">
      <formula>AV53</formula>
    </cfRule>
    <cfRule type="cellIs" dxfId="306" priority="156" operator="greaterThanOrEqual">
      <formula>AV53</formula>
    </cfRule>
  </conditionalFormatting>
  <conditionalFormatting sqref="AV53:AV62">
    <cfRule type="cellIs" dxfId="305" priority="153" operator="lessThan">
      <formula>AT53</formula>
    </cfRule>
    <cfRule type="cellIs" dxfId="304" priority="154" operator="greaterThanOrEqual">
      <formula>AT53</formula>
    </cfRule>
  </conditionalFormatting>
  <conditionalFormatting sqref="G76:G95">
    <cfRule type="cellIs" dxfId="303" priority="151" operator="lessThan">
      <formula>I76</formula>
    </cfRule>
    <cfRule type="cellIs" dxfId="302" priority="152" operator="greaterThanOrEqual">
      <formula>I76</formula>
    </cfRule>
  </conditionalFormatting>
  <conditionalFormatting sqref="I76:I95">
    <cfRule type="cellIs" dxfId="301" priority="149" operator="lessThan">
      <formula>G76</formula>
    </cfRule>
    <cfRule type="cellIs" dxfId="300" priority="150" operator="greaterThanOrEqual">
      <formula>G76</formula>
    </cfRule>
  </conditionalFormatting>
  <conditionalFormatting sqref="T76:T82">
    <cfRule type="cellIs" dxfId="299" priority="147" operator="lessThan">
      <formula>V76</formula>
    </cfRule>
    <cfRule type="cellIs" dxfId="298" priority="148" operator="greaterThanOrEqual">
      <formula>V76</formula>
    </cfRule>
  </conditionalFormatting>
  <conditionalFormatting sqref="V76:V82">
    <cfRule type="cellIs" dxfId="297" priority="145" operator="lessThan">
      <formula>T76</formula>
    </cfRule>
    <cfRule type="cellIs" dxfId="296" priority="146" operator="greaterThanOrEqual">
      <formula>T76</formula>
    </cfRule>
  </conditionalFormatting>
  <conditionalFormatting sqref="AG76:AG84">
    <cfRule type="cellIs" dxfId="295" priority="143" operator="lessThan">
      <formula>AI76</formula>
    </cfRule>
    <cfRule type="cellIs" dxfId="294" priority="144" operator="greaterThanOrEqual">
      <formula>AI76</formula>
    </cfRule>
  </conditionalFormatting>
  <conditionalFormatting sqref="AI76:AI84">
    <cfRule type="cellIs" dxfId="293" priority="141" operator="lessThan">
      <formula>AG76</formula>
    </cfRule>
    <cfRule type="cellIs" dxfId="292" priority="142" operator="greaterThanOrEqual">
      <formula>AG76</formula>
    </cfRule>
  </conditionalFormatting>
  <conditionalFormatting sqref="G107:G116">
    <cfRule type="cellIs" dxfId="291" priority="139" operator="lessThan">
      <formula>I107</formula>
    </cfRule>
    <cfRule type="cellIs" dxfId="290" priority="140" operator="greaterThanOrEqual">
      <formula>I107</formula>
    </cfRule>
  </conditionalFormatting>
  <conditionalFormatting sqref="I107:I116">
    <cfRule type="cellIs" dxfId="289" priority="137" operator="lessThan">
      <formula>G107</formula>
    </cfRule>
    <cfRule type="cellIs" dxfId="288" priority="138" operator="greaterThanOrEqual">
      <formula>G107</formula>
    </cfRule>
  </conditionalFormatting>
  <conditionalFormatting sqref="BT5 BT12">
    <cfRule type="cellIs" dxfId="287" priority="7" operator="lessThan">
      <formula>BV5</formula>
    </cfRule>
    <cfRule type="cellIs" dxfId="286" priority="8" operator="greaterThanOrEqual">
      <formula>BV5</formula>
    </cfRule>
  </conditionalFormatting>
  <conditionalFormatting sqref="BV5 BV12">
    <cfRule type="cellIs" dxfId="285" priority="5" operator="lessThan">
      <formula>BT5</formula>
    </cfRule>
    <cfRule type="cellIs" dxfId="284" priority="6" operator="greaterThanOrEqual">
      <formula>BT5</formula>
    </cfRule>
  </conditionalFormatting>
  <conditionalFormatting sqref="T107:T119">
    <cfRule type="cellIs" dxfId="283" priority="127" operator="lessThan">
      <formula>V107</formula>
    </cfRule>
    <cfRule type="cellIs" dxfId="282" priority="128" operator="greaterThanOrEqual">
      <formula>V107</formula>
    </cfRule>
  </conditionalFormatting>
  <conditionalFormatting sqref="V107:V119">
    <cfRule type="cellIs" dxfId="281" priority="125" operator="lessThan">
      <formula>T107</formula>
    </cfRule>
    <cfRule type="cellIs" dxfId="280" priority="126" operator="greaterThanOrEqual">
      <formula>T107</formula>
    </cfRule>
  </conditionalFormatting>
  <conditionalFormatting sqref="AG107:AG113">
    <cfRule type="cellIs" dxfId="279" priority="123" operator="lessThan">
      <formula>AI107</formula>
    </cfRule>
    <cfRule type="cellIs" dxfId="278" priority="124" operator="greaterThanOrEqual">
      <formula>AI107</formula>
    </cfRule>
  </conditionalFormatting>
  <conditionalFormatting sqref="AI107:AI113">
    <cfRule type="cellIs" dxfId="277" priority="121" operator="lessThan">
      <formula>AG107</formula>
    </cfRule>
    <cfRule type="cellIs" dxfId="276" priority="122" operator="greaterThanOrEqual">
      <formula>AG107</formula>
    </cfRule>
  </conditionalFormatting>
  <conditionalFormatting sqref="AT107:AT115">
    <cfRule type="cellIs" dxfId="275" priority="119" operator="lessThan">
      <formula>AV107</formula>
    </cfRule>
    <cfRule type="cellIs" dxfId="274" priority="120" operator="greaterThanOrEqual">
      <formula>AV107</formula>
    </cfRule>
  </conditionalFormatting>
  <conditionalFormatting sqref="AV107:AV115">
    <cfRule type="cellIs" dxfId="273" priority="117" operator="lessThan">
      <formula>AT107</formula>
    </cfRule>
    <cfRule type="cellIs" dxfId="272" priority="118" operator="greaterThanOrEqual">
      <formula>AT107</formula>
    </cfRule>
  </conditionalFormatting>
  <conditionalFormatting sqref="G131:G138">
    <cfRule type="cellIs" dxfId="271" priority="115" operator="lessThan">
      <formula>I131</formula>
    </cfRule>
    <cfRule type="cellIs" dxfId="270" priority="116" operator="greaterThanOrEqual">
      <formula>I131</formula>
    </cfRule>
  </conditionalFormatting>
  <conditionalFormatting sqref="I131:I138">
    <cfRule type="cellIs" dxfId="269" priority="113" operator="lessThan">
      <formula>G131</formula>
    </cfRule>
    <cfRule type="cellIs" dxfId="268" priority="114" operator="greaterThanOrEqual">
      <formula>G131</formula>
    </cfRule>
  </conditionalFormatting>
  <conditionalFormatting sqref="T131:T140">
    <cfRule type="cellIs" dxfId="267" priority="111" operator="lessThan">
      <formula>V131</formula>
    </cfRule>
    <cfRule type="cellIs" dxfId="266" priority="112" operator="greaterThanOrEqual">
      <formula>V131</formula>
    </cfRule>
  </conditionalFormatting>
  <conditionalFormatting sqref="V131:V140">
    <cfRule type="cellIs" dxfId="265" priority="109" operator="lessThan">
      <formula>T131</formula>
    </cfRule>
    <cfRule type="cellIs" dxfId="264" priority="110" operator="greaterThanOrEqual">
      <formula>T131</formula>
    </cfRule>
  </conditionalFormatting>
  <conditionalFormatting sqref="BV6:BV11 BV13:BV15">
    <cfRule type="cellIs" dxfId="263" priority="1" operator="lessThan">
      <formula>BT6</formula>
    </cfRule>
    <cfRule type="cellIs" dxfId="262" priority="2" operator="greaterThanOrEqual">
      <formula>BT6</formula>
    </cfRule>
  </conditionalFormatting>
  <conditionalFormatting sqref="AG131:AG144">
    <cfRule type="cellIs" dxfId="261" priority="107" operator="lessThan">
      <formula>AI131</formula>
    </cfRule>
    <cfRule type="cellIs" dxfId="260" priority="108" operator="greaterThanOrEqual">
      <formula>AI131</formula>
    </cfRule>
  </conditionalFormatting>
  <conditionalFormatting sqref="AI131:AI144">
    <cfRule type="cellIs" dxfId="259" priority="105" operator="lessThan">
      <formula>AG131</formula>
    </cfRule>
    <cfRule type="cellIs" dxfId="258" priority="106" operator="greaterThanOrEqual">
      <formula>AG131</formula>
    </cfRule>
  </conditionalFormatting>
  <conditionalFormatting sqref="AT131:AT139">
    <cfRule type="cellIs" dxfId="257" priority="103" operator="lessThan">
      <formula>AV131</formula>
    </cfRule>
    <cfRule type="cellIs" dxfId="256" priority="104" operator="greaterThanOrEqual">
      <formula>AV131</formula>
    </cfRule>
  </conditionalFormatting>
  <conditionalFormatting sqref="AV131:AV139">
    <cfRule type="cellIs" dxfId="255" priority="101" operator="lessThan">
      <formula>AT131</formula>
    </cfRule>
    <cfRule type="cellIs" dxfId="254" priority="102" operator="greaterThanOrEqual">
      <formula>AT131</formula>
    </cfRule>
  </conditionalFormatting>
  <conditionalFormatting sqref="BT6:BT11 BT13:BT15">
    <cfRule type="cellIs" dxfId="253" priority="3" operator="lessThan">
      <formula>BV6</formula>
    </cfRule>
    <cfRule type="cellIs" dxfId="252" priority="4" operator="greaterThanOrEqual">
      <formula>BV6</formula>
    </cfRule>
  </conditionalFormatting>
  <conditionalFormatting sqref="BG76:BG87">
    <cfRule type="cellIs" dxfId="251" priority="71" operator="lessThan">
      <formula>BI76</formula>
    </cfRule>
    <cfRule type="cellIs" dxfId="250" priority="72" operator="greaterThanOrEqual">
      <formula>BI76</formula>
    </cfRule>
  </conditionalFormatting>
  <conditionalFormatting sqref="BI76:BI87">
    <cfRule type="cellIs" dxfId="249" priority="69" operator="lessThan">
      <formula>BG76</formula>
    </cfRule>
    <cfRule type="cellIs" dxfId="248" priority="70" operator="greaterThanOrEqual">
      <formula>BG76</formula>
    </cfRule>
  </conditionalFormatting>
  <conditionalFormatting sqref="BG131:BG146">
    <cfRule type="cellIs" dxfId="247" priority="75" operator="lessThan">
      <formula>BI131</formula>
    </cfRule>
    <cfRule type="cellIs" dxfId="246" priority="76" operator="greaterThanOrEqual">
      <formula>BI131</formula>
    </cfRule>
  </conditionalFormatting>
  <conditionalFormatting sqref="BI131:BI146">
    <cfRule type="cellIs" dxfId="245" priority="73" operator="lessThan">
      <formula>BG131</formula>
    </cfRule>
    <cfRule type="cellIs" dxfId="244" priority="74" operator="greaterThanOrEqual">
      <formula>BG131</formula>
    </cfRule>
  </conditionalFormatting>
  <conditionalFormatting sqref="BT107:BT118">
    <cfRule type="cellIs" dxfId="243" priority="39" operator="lessThan">
      <formula>BV107</formula>
    </cfRule>
    <cfRule type="cellIs" dxfId="242" priority="40" operator="greaterThanOrEqual">
      <formula>BV107</formula>
    </cfRule>
  </conditionalFormatting>
  <conditionalFormatting sqref="BV107:BV118">
    <cfRule type="cellIs" dxfId="241" priority="37" operator="lessThan">
      <formula>BT107</formula>
    </cfRule>
    <cfRule type="cellIs" dxfId="240" priority="38" operator="greaterThanOrEqual">
      <formula>BT107</formula>
    </cfRule>
  </conditionalFormatting>
  <conditionalFormatting sqref="BT53:BT62">
    <cfRule type="cellIs" dxfId="239" priority="27" operator="lessThan">
      <formula>BV53</formula>
    </cfRule>
    <cfRule type="cellIs" dxfId="238" priority="28" operator="greaterThanOrEqual">
      <formula>BV53</formula>
    </cfRule>
  </conditionalFormatting>
  <conditionalFormatting sqref="BV53:BV62">
    <cfRule type="cellIs" dxfId="237" priority="25" operator="lessThan">
      <formula>BT53</formula>
    </cfRule>
    <cfRule type="cellIs" dxfId="236" priority="26" operator="greaterThanOrEqual">
      <formula>BT53</formula>
    </cfRule>
  </conditionalFormatting>
  <conditionalFormatting sqref="BG6:BG11 BG13:BG14">
    <cfRule type="cellIs" dxfId="235" priority="11" operator="lessThan">
      <formula>BI6</formula>
    </cfRule>
    <cfRule type="cellIs" dxfId="234" priority="12" operator="greaterThanOrEqual">
      <formula>BI6</formula>
    </cfRule>
  </conditionalFormatting>
  <conditionalFormatting sqref="BI6:BI11 BI13:BI14">
    <cfRule type="cellIs" dxfId="233" priority="9" operator="lessThan">
      <formula>BG6</formula>
    </cfRule>
    <cfRule type="cellIs" dxfId="232" priority="10" operator="greaterThanOrEqual">
      <formula>BG6</formula>
    </cfRule>
  </conditionalFormatting>
  <conditionalFormatting sqref="BT76:BT82">
    <cfRule type="cellIs" dxfId="231" priority="35" operator="lessThan">
      <formula>BV76</formula>
    </cfRule>
    <cfRule type="cellIs" dxfId="230" priority="36" operator="greaterThanOrEqual">
      <formula>BV76</formula>
    </cfRule>
  </conditionalFormatting>
  <conditionalFormatting sqref="BV76:BV82">
    <cfRule type="cellIs" dxfId="229" priority="33" operator="lessThan">
      <formula>BT76</formula>
    </cfRule>
    <cfRule type="cellIs" dxfId="228" priority="34" operator="greaterThanOrEqual">
      <formula>BT76</formula>
    </cfRule>
  </conditionalFormatting>
  <conditionalFormatting sqref="BG53:BG64">
    <cfRule type="cellIs" dxfId="227" priority="31" operator="lessThan">
      <formula>BI53</formula>
    </cfRule>
    <cfRule type="cellIs" dxfId="226" priority="32" operator="greaterThanOrEqual">
      <formula>BI53</formula>
    </cfRule>
  </conditionalFormatting>
  <conditionalFormatting sqref="BI53:BI64">
    <cfRule type="cellIs" dxfId="225" priority="29" operator="lessThan">
      <formula>BG53</formula>
    </cfRule>
    <cfRule type="cellIs" dxfId="224" priority="30" operator="greaterThanOrEqual">
      <formula>BG53</formula>
    </cfRule>
  </conditionalFormatting>
  <conditionalFormatting sqref="BG30:BG35">
    <cfRule type="cellIs" dxfId="223" priority="23" operator="lessThan">
      <formula>BI30</formula>
    </cfRule>
    <cfRule type="cellIs" dxfId="222" priority="24" operator="greaterThanOrEqual">
      <formula>BI30</formula>
    </cfRule>
  </conditionalFormatting>
  <conditionalFormatting sqref="BI30:BI35">
    <cfRule type="cellIs" dxfId="221" priority="21" operator="lessThan">
      <formula>BG30</formula>
    </cfRule>
    <cfRule type="cellIs" dxfId="220" priority="22" operator="greaterThanOrEqual">
      <formula>BG30</formula>
    </cfRule>
  </conditionalFormatting>
  <conditionalFormatting sqref="BT30:BT41">
    <cfRule type="cellIs" dxfId="219" priority="19" operator="lessThan">
      <formula>BV30</formula>
    </cfRule>
    <cfRule type="cellIs" dxfId="218" priority="20" operator="greaterThanOrEqual">
      <formula>BV30</formula>
    </cfRule>
  </conditionalFormatting>
  <conditionalFormatting sqref="BV30:BV41">
    <cfRule type="cellIs" dxfId="217" priority="17" operator="lessThan">
      <formula>BT30</formula>
    </cfRule>
    <cfRule type="cellIs" dxfId="216" priority="18" operator="greaterThanOrEqual">
      <formula>BT30</formula>
    </cfRule>
  </conditionalFormatting>
  <conditionalFormatting sqref="BG5 BG12">
    <cfRule type="cellIs" dxfId="215" priority="15" operator="lessThan">
      <formula>BI5</formula>
    </cfRule>
    <cfRule type="cellIs" dxfId="214" priority="16" operator="greaterThanOrEqual">
      <formula>BI5</formula>
    </cfRule>
  </conditionalFormatting>
  <conditionalFormatting sqref="BI5 BI12">
    <cfRule type="cellIs" dxfId="213" priority="13" operator="lessThan">
      <formula>BG5</formula>
    </cfRule>
    <cfRule type="cellIs" dxfId="212" priority="14" operator="greaterThanOrEqual">
      <formula>BG5</formula>
    </cfRule>
  </conditionalFormatting>
  <pageMargins left="0.23622047244094491" right="0.23622047244094491" top="0.74803149606299213" bottom="0.74803149606299213" header="0.31496062992125984" footer="0.31496062992125984"/>
  <pageSetup paperSize="9" scale="37" fitToWidth="2" fitToHeight="2" orientation="landscape" horizontalDpi="4294967293" verticalDpi="0" r:id="rId1"/>
  <rowBreaks count="1" manualBreakCount="1">
    <brk id="72" max="16383" man="1"/>
  </rowBreaks>
  <colBreaks count="1" manualBreakCount="1">
    <brk id="4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32"/>
  <sheetViews>
    <sheetView zoomScale="90" zoomScaleNormal="90" workbookViewId="0"/>
  </sheetViews>
  <sheetFormatPr baseColWidth="10" defaultRowHeight="14.25"/>
  <cols>
    <col min="1" max="1" width="14.28515625" style="40" bestFit="1" customWidth="1"/>
    <col min="2" max="4" width="7.85546875" style="58" customWidth="1"/>
    <col min="5" max="5" width="7.85546875" style="59" customWidth="1"/>
    <col min="6" max="6" width="5.140625" style="59" bestFit="1" customWidth="1"/>
    <col min="7" max="7" width="4.7109375" style="35" customWidth="1"/>
    <col min="8" max="8" width="5.140625" style="35" bestFit="1" customWidth="1"/>
    <col min="9" max="12" width="7.7109375" style="35" customWidth="1"/>
    <col min="13" max="13" width="11.42578125" style="35"/>
    <col min="14" max="14" width="14.28515625" style="40" bestFit="1" customWidth="1"/>
    <col min="15" max="17" width="7.7109375" style="58" customWidth="1"/>
    <col min="18" max="18" width="7.7109375" style="59" customWidth="1"/>
    <col min="19" max="19" width="5.140625" style="35" bestFit="1" customWidth="1"/>
    <col min="20" max="20" width="4.7109375" style="35" customWidth="1"/>
    <col min="21" max="21" width="5.140625" style="35" bestFit="1" customWidth="1"/>
    <col min="22" max="25" width="7.85546875" style="35" customWidth="1"/>
    <col min="26" max="16384" width="11.42578125" style="35"/>
  </cols>
  <sheetData>
    <row r="1" spans="1:26" ht="15">
      <c r="B1" s="1540" t="s">
        <v>97</v>
      </c>
      <c r="C1" s="1540"/>
      <c r="D1" s="1540"/>
      <c r="E1" s="1540"/>
      <c r="F1" s="41">
        <f>IF(COUNTIF(F4:F14,"&gt;37")=0,0,COUNTIF(F4:F14,"&gt;37")-1)</f>
        <v>4</v>
      </c>
      <c r="H1" s="41">
        <f>IF(COUNTIF(H4:H14,"&gt;37")=0,0,COUNTIF(H4:H14,"&gt;37")-1)</f>
        <v>0</v>
      </c>
      <c r="I1" s="1541" t="s">
        <v>105</v>
      </c>
      <c r="J1" s="1541"/>
      <c r="K1" s="1541"/>
      <c r="L1" s="1541"/>
      <c r="O1" s="1541" t="s">
        <v>105</v>
      </c>
      <c r="P1" s="1541"/>
      <c r="Q1" s="1541"/>
      <c r="R1" s="1541"/>
      <c r="S1" s="41">
        <f>IF(COUNTIF(S4:S14,"&gt;37")=0,0,COUNTIF(S4:S14,"&gt;37")-1)</f>
        <v>0</v>
      </c>
      <c r="U1" s="41">
        <f>IF(COUNTIF(U4:U14,"&gt;37")=0,0,COUNTIF(U4:U14,"&gt;37")-1)</f>
        <v>4</v>
      </c>
      <c r="V1" s="1540" t="s">
        <v>97</v>
      </c>
      <c r="W1" s="1540"/>
      <c r="X1" s="1540"/>
      <c r="Y1" s="1540"/>
    </row>
    <row r="2" spans="1:26" ht="15">
      <c r="B2" s="469">
        <v>1</v>
      </c>
      <c r="C2" s="470">
        <v>2</v>
      </c>
      <c r="D2" s="471">
        <v>3</v>
      </c>
      <c r="E2" s="472">
        <v>4</v>
      </c>
      <c r="F2" s="101"/>
      <c r="G2" s="102"/>
      <c r="I2" s="137">
        <v>1</v>
      </c>
      <c r="J2" s="138">
        <v>2</v>
      </c>
      <c r="K2" s="139">
        <v>3</v>
      </c>
      <c r="L2" s="468">
        <v>4</v>
      </c>
      <c r="O2" s="479">
        <v>1</v>
      </c>
      <c r="P2" s="480">
        <v>2</v>
      </c>
      <c r="Q2" s="481">
        <v>3</v>
      </c>
      <c r="R2" s="482">
        <v>4</v>
      </c>
      <c r="S2" s="102"/>
      <c r="T2" s="102"/>
      <c r="U2" s="102"/>
      <c r="V2" s="469">
        <v>1</v>
      </c>
      <c r="W2" s="470">
        <v>2</v>
      </c>
      <c r="X2" s="471">
        <v>3</v>
      </c>
      <c r="Y2" s="472">
        <v>4</v>
      </c>
    </row>
    <row r="3" spans="1:26" ht="48.75">
      <c r="B3" s="475" t="s">
        <v>53</v>
      </c>
      <c r="C3" s="475" t="s">
        <v>0</v>
      </c>
      <c r="D3" s="475" t="s">
        <v>56</v>
      </c>
      <c r="E3" s="475" t="s">
        <v>1</v>
      </c>
      <c r="F3" s="101"/>
      <c r="G3" s="102"/>
      <c r="I3" s="140" t="s">
        <v>106</v>
      </c>
      <c r="J3" s="140" t="s">
        <v>55</v>
      </c>
      <c r="K3" s="140" t="s">
        <v>107</v>
      </c>
      <c r="L3" s="140" t="s">
        <v>108</v>
      </c>
      <c r="M3" s="102"/>
      <c r="N3" s="91"/>
      <c r="O3" s="140" t="s">
        <v>107</v>
      </c>
      <c r="P3" s="140" t="s">
        <v>55</v>
      </c>
      <c r="Q3" s="140" t="s">
        <v>106</v>
      </c>
      <c r="R3" s="140" t="s">
        <v>108</v>
      </c>
      <c r="S3" s="483"/>
      <c r="T3" s="102"/>
      <c r="U3" s="102"/>
      <c r="V3" s="475" t="s">
        <v>1</v>
      </c>
      <c r="W3" s="475" t="s">
        <v>53</v>
      </c>
      <c r="X3" s="475" t="s">
        <v>0</v>
      </c>
      <c r="Y3" s="475" t="s">
        <v>56</v>
      </c>
      <c r="Z3" s="102"/>
    </row>
    <row r="4" spans="1:26">
      <c r="A4" s="51">
        <v>1</v>
      </c>
      <c r="B4" s="52">
        <v>10</v>
      </c>
      <c r="C4" s="53"/>
      <c r="D4" s="53"/>
      <c r="E4" s="89"/>
      <c r="F4" s="54">
        <f>SUM($B$4:E4)</f>
        <v>10</v>
      </c>
      <c r="G4" s="103">
        <f>F4-H4</f>
        <v>2</v>
      </c>
      <c r="H4" s="55">
        <f>SUM($I$4:L4)</f>
        <v>8</v>
      </c>
      <c r="I4" s="52">
        <v>8</v>
      </c>
      <c r="J4" s="53"/>
      <c r="K4" s="53"/>
      <c r="L4" s="89"/>
      <c r="N4" s="51">
        <v>1</v>
      </c>
      <c r="O4" s="52" t="s">
        <v>2</v>
      </c>
      <c r="P4" s="53"/>
      <c r="Q4" s="53"/>
      <c r="R4" s="89"/>
      <c r="S4" s="54">
        <f>SUM($O$4:R4)</f>
        <v>0</v>
      </c>
      <c r="T4" s="103">
        <f>S4-U4</f>
        <v>-5</v>
      </c>
      <c r="U4" s="55">
        <f>SUM($V$4:Y4)</f>
        <v>5</v>
      </c>
      <c r="V4" s="52">
        <v>5</v>
      </c>
      <c r="W4" s="53"/>
      <c r="X4" s="53"/>
      <c r="Y4" s="477"/>
    </row>
    <row r="5" spans="1:26">
      <c r="A5" s="56">
        <v>2</v>
      </c>
      <c r="B5" s="53"/>
      <c r="C5" s="52">
        <v>8</v>
      </c>
      <c r="D5" s="53"/>
      <c r="E5" s="53"/>
      <c r="F5" s="54">
        <f>SUM($B$4:E5)</f>
        <v>18</v>
      </c>
      <c r="G5" s="103">
        <f t="shared" ref="G5:G11" si="0">F5-H5</f>
        <v>4</v>
      </c>
      <c r="H5" s="55">
        <f>SUM($I$4:L5)</f>
        <v>14</v>
      </c>
      <c r="I5" s="53"/>
      <c r="J5" s="52">
        <v>6</v>
      </c>
      <c r="K5" s="53"/>
      <c r="L5" s="53"/>
      <c r="N5" s="56">
        <v>2</v>
      </c>
      <c r="O5" s="53"/>
      <c r="P5" s="52">
        <v>9</v>
      </c>
      <c r="Q5" s="53"/>
      <c r="R5" s="53"/>
      <c r="S5" s="54">
        <f>SUM($O$4:R5)</f>
        <v>9</v>
      </c>
      <c r="T5" s="103">
        <f t="shared" ref="T5:T13" si="1">S5-U5</f>
        <v>-3</v>
      </c>
      <c r="U5" s="55">
        <f>SUM($V$4:Y5)</f>
        <v>12</v>
      </c>
      <c r="V5" s="53"/>
      <c r="W5" s="52">
        <v>7</v>
      </c>
      <c r="X5" s="53"/>
      <c r="Y5" s="53"/>
    </row>
    <row r="6" spans="1:26">
      <c r="A6" s="56">
        <v>3</v>
      </c>
      <c r="B6" s="52"/>
      <c r="C6" s="53"/>
      <c r="D6" s="53">
        <v>5</v>
      </c>
      <c r="E6" s="89"/>
      <c r="F6" s="54">
        <f>SUM($B$4:E6)</f>
        <v>23</v>
      </c>
      <c r="G6" s="103">
        <f t="shared" si="0"/>
        <v>9</v>
      </c>
      <c r="H6" s="55">
        <f>SUM($I$4:L6)</f>
        <v>14</v>
      </c>
      <c r="I6" s="52"/>
      <c r="J6" s="53"/>
      <c r="K6" s="53" t="s">
        <v>2</v>
      </c>
      <c r="L6" s="89"/>
      <c r="N6" s="56">
        <v>3</v>
      </c>
      <c r="O6" s="52"/>
      <c r="P6" s="53"/>
      <c r="Q6" s="53">
        <v>6</v>
      </c>
      <c r="R6" s="89"/>
      <c r="S6" s="54">
        <f>SUM($O$4:R6)</f>
        <v>15</v>
      </c>
      <c r="T6" s="103">
        <f t="shared" si="1"/>
        <v>-3</v>
      </c>
      <c r="U6" s="55">
        <f>SUM($V$4:Y6)</f>
        <v>18</v>
      </c>
      <c r="V6" s="52"/>
      <c r="W6" s="53"/>
      <c r="X6" s="53">
        <v>6</v>
      </c>
      <c r="Y6" s="89"/>
    </row>
    <row r="7" spans="1:26">
      <c r="A7" s="56">
        <v>4</v>
      </c>
      <c r="B7" s="53"/>
      <c r="C7" s="52"/>
      <c r="D7" s="53"/>
      <c r="E7" s="53">
        <v>3</v>
      </c>
      <c r="F7" s="54">
        <f>SUM($B$4:E7)</f>
        <v>26</v>
      </c>
      <c r="G7" s="103">
        <f t="shared" si="0"/>
        <v>9</v>
      </c>
      <c r="H7" s="55">
        <f>SUM($I$4:L7)</f>
        <v>17</v>
      </c>
      <c r="I7" s="53"/>
      <c r="J7" s="52"/>
      <c r="K7" s="53"/>
      <c r="L7" s="53">
        <v>3</v>
      </c>
      <c r="N7" s="56">
        <v>4</v>
      </c>
      <c r="O7" s="53"/>
      <c r="P7" s="52"/>
      <c r="Q7" s="53"/>
      <c r="R7" s="53" t="s">
        <v>2</v>
      </c>
      <c r="S7" s="54">
        <f>SUM($O$4:R7)</f>
        <v>15</v>
      </c>
      <c r="T7" s="103">
        <f t="shared" si="1"/>
        <v>-11</v>
      </c>
      <c r="U7" s="55">
        <f>SUM($V$4:Y7)</f>
        <v>26</v>
      </c>
      <c r="V7" s="53"/>
      <c r="W7" s="52"/>
      <c r="X7" s="53"/>
      <c r="Y7" s="53">
        <v>8</v>
      </c>
    </row>
    <row r="8" spans="1:26">
      <c r="A8" s="56">
        <v>5</v>
      </c>
      <c r="B8" s="52">
        <v>10</v>
      </c>
      <c r="C8" s="53"/>
      <c r="D8" s="53"/>
      <c r="E8" s="89"/>
      <c r="F8" s="54">
        <f>SUM($B$4:E8)</f>
        <v>36</v>
      </c>
      <c r="G8" s="103">
        <f t="shared" si="0"/>
        <v>16</v>
      </c>
      <c r="H8" s="55">
        <f>SUM($I$4:L8)</f>
        <v>20</v>
      </c>
      <c r="I8" s="52">
        <v>3</v>
      </c>
      <c r="J8" s="53"/>
      <c r="K8" s="53"/>
      <c r="L8" s="89"/>
      <c r="N8" s="56">
        <v>5</v>
      </c>
      <c r="O8" s="52">
        <v>3</v>
      </c>
      <c r="P8" s="53"/>
      <c r="Q8" s="53"/>
      <c r="R8" s="89"/>
      <c r="S8" s="54">
        <f>SUM($O$4:R8)</f>
        <v>18</v>
      </c>
      <c r="T8" s="103">
        <f t="shared" si="1"/>
        <v>-18</v>
      </c>
      <c r="U8" s="55">
        <f>SUM($V$4:Y8)</f>
        <v>36</v>
      </c>
      <c r="V8" s="52">
        <v>10</v>
      </c>
      <c r="W8" s="53"/>
      <c r="X8" s="53"/>
      <c r="Y8" s="89"/>
    </row>
    <row r="9" spans="1:26">
      <c r="A9" s="56">
        <v>6</v>
      </c>
      <c r="B9" s="53"/>
      <c r="C9" s="52">
        <v>5</v>
      </c>
      <c r="D9" s="53"/>
      <c r="E9" s="53"/>
      <c r="F9" s="54">
        <f>SUM($B$4:E9)</f>
        <v>41</v>
      </c>
      <c r="G9" s="103">
        <f t="shared" si="0"/>
        <v>12</v>
      </c>
      <c r="H9" s="55">
        <f>SUM($I$4:L9)</f>
        <v>29</v>
      </c>
      <c r="I9" s="53"/>
      <c r="J9" s="52">
        <v>9</v>
      </c>
      <c r="K9" s="53"/>
      <c r="L9" s="53"/>
      <c r="N9" s="56">
        <v>6</v>
      </c>
      <c r="O9" s="53"/>
      <c r="P9" s="52">
        <v>9</v>
      </c>
      <c r="Q9" s="53"/>
      <c r="R9" s="53"/>
      <c r="S9" s="54">
        <f>SUM($O$4:R9)</f>
        <v>27</v>
      </c>
      <c r="T9" s="103">
        <f t="shared" si="1"/>
        <v>-12</v>
      </c>
      <c r="U9" s="55">
        <f>SUM($V$4:Y9)</f>
        <v>39</v>
      </c>
      <c r="V9" s="53"/>
      <c r="W9" s="52">
        <v>3</v>
      </c>
      <c r="X9" s="53"/>
      <c r="Y9" s="53"/>
    </row>
    <row r="10" spans="1:26">
      <c r="A10" s="56">
        <v>7</v>
      </c>
      <c r="B10" s="52"/>
      <c r="C10" s="53"/>
      <c r="D10" s="53" t="s">
        <v>2</v>
      </c>
      <c r="E10" s="89"/>
      <c r="F10" s="54">
        <f>SUM($B$4:E10)</f>
        <v>41</v>
      </c>
      <c r="G10" s="103">
        <f t="shared" si="0"/>
        <v>9</v>
      </c>
      <c r="H10" s="55">
        <f>SUM($I$4:L10)</f>
        <v>32</v>
      </c>
      <c r="I10" s="52"/>
      <c r="J10" s="53"/>
      <c r="K10" s="53">
        <v>3</v>
      </c>
      <c r="L10" s="89"/>
      <c r="N10" s="56">
        <v>7</v>
      </c>
      <c r="O10" s="52"/>
      <c r="P10" s="53"/>
      <c r="Q10" s="53" t="s">
        <v>2</v>
      </c>
      <c r="R10" s="89"/>
      <c r="S10" s="54">
        <f>SUM($O$4:R10)</f>
        <v>27</v>
      </c>
      <c r="T10" s="103">
        <f t="shared" si="1"/>
        <v>-14</v>
      </c>
      <c r="U10" s="55">
        <f>SUM($V$4:Y10)</f>
        <v>41</v>
      </c>
      <c r="V10" s="52"/>
      <c r="W10" s="53"/>
      <c r="X10" s="53">
        <v>2</v>
      </c>
      <c r="Y10" s="89"/>
    </row>
    <row r="11" spans="1:26" ht="15">
      <c r="A11" s="51">
        <v>8</v>
      </c>
      <c r="B11" s="53"/>
      <c r="C11" s="52"/>
      <c r="D11" s="53"/>
      <c r="E11" s="268">
        <v>2</v>
      </c>
      <c r="F11" s="54">
        <f>SUM($B$4:E11)</f>
        <v>43</v>
      </c>
      <c r="G11" s="103">
        <f t="shared" si="0"/>
        <v>11</v>
      </c>
      <c r="H11" s="55">
        <f>SUM($I$4:L11)</f>
        <v>32</v>
      </c>
      <c r="I11" s="53"/>
      <c r="J11" s="52"/>
      <c r="K11" s="53"/>
      <c r="L11" s="89" t="s">
        <v>2</v>
      </c>
      <c r="N11" s="56">
        <v>8</v>
      </c>
      <c r="O11" s="53"/>
      <c r="P11" s="52"/>
      <c r="Q11" s="53"/>
      <c r="R11" s="53">
        <v>4</v>
      </c>
      <c r="S11" s="54">
        <f>SUM($O$4:R11)</f>
        <v>31</v>
      </c>
      <c r="T11" s="103">
        <f t="shared" si="1"/>
        <v>-12</v>
      </c>
      <c r="U11" s="55">
        <f>SUM($V$4:Y11)</f>
        <v>43</v>
      </c>
      <c r="V11" s="53"/>
      <c r="W11" s="52"/>
      <c r="X11" s="53"/>
      <c r="Y11" s="53">
        <v>2</v>
      </c>
    </row>
    <row r="12" spans="1:26" ht="15">
      <c r="A12" s="56">
        <v>9</v>
      </c>
      <c r="B12" s="53" t="s">
        <v>2</v>
      </c>
      <c r="C12" s="52"/>
      <c r="D12" s="53"/>
      <c r="E12" s="53"/>
      <c r="F12" s="54">
        <f>SUM($B$4:E12)</f>
        <v>43</v>
      </c>
      <c r="G12" s="103">
        <f>F12-H12</f>
        <v>9</v>
      </c>
      <c r="H12" s="55">
        <f>SUM($I$4:L12)</f>
        <v>34</v>
      </c>
      <c r="I12" s="268">
        <v>2</v>
      </c>
      <c r="J12" s="52"/>
      <c r="K12" s="53"/>
      <c r="L12" s="89"/>
      <c r="N12" s="56">
        <v>9</v>
      </c>
      <c r="O12" s="268">
        <v>2</v>
      </c>
      <c r="P12" s="52"/>
      <c r="Q12" s="53"/>
      <c r="R12" s="53"/>
      <c r="S12" s="54">
        <f>SUM($O$4:R12)</f>
        <v>33</v>
      </c>
      <c r="T12" s="103">
        <f t="shared" si="1"/>
        <v>-14</v>
      </c>
      <c r="U12" s="55">
        <f>SUM($V$4:Y12)</f>
        <v>47</v>
      </c>
      <c r="V12" s="53">
        <v>4</v>
      </c>
      <c r="W12" s="52"/>
      <c r="X12" s="53"/>
      <c r="Y12" s="53"/>
    </row>
    <row r="13" spans="1:26">
      <c r="A13" s="56">
        <v>10</v>
      </c>
      <c r="B13" s="53"/>
      <c r="C13" s="52">
        <v>7</v>
      </c>
      <c r="D13" s="53"/>
      <c r="E13" s="53"/>
      <c r="F13" s="54">
        <f>SUM($B$4:E13)</f>
        <v>50</v>
      </c>
      <c r="G13" s="103">
        <f>F13-H13</f>
        <v>16</v>
      </c>
      <c r="H13" s="55">
        <f>SUM($I$4:L13)</f>
        <v>34</v>
      </c>
      <c r="I13" s="53"/>
      <c r="J13" s="52"/>
      <c r="K13" s="53"/>
      <c r="L13" s="89"/>
      <c r="N13" s="56">
        <v>10</v>
      </c>
      <c r="O13" s="53"/>
      <c r="P13" s="52">
        <v>9</v>
      </c>
      <c r="Q13" s="53"/>
      <c r="R13" s="53"/>
      <c r="S13" s="54">
        <f>SUM($O$4:R13)</f>
        <v>42</v>
      </c>
      <c r="T13" s="103">
        <f t="shared" si="1"/>
        <v>-8</v>
      </c>
      <c r="U13" s="55">
        <f>SUM($V$4:Y13)</f>
        <v>50</v>
      </c>
      <c r="V13" s="53"/>
      <c r="W13" s="98">
        <v>3</v>
      </c>
      <c r="X13" s="53"/>
      <c r="Y13" s="53"/>
    </row>
    <row r="14" spans="1:26">
      <c r="C14" s="59"/>
      <c r="I14" s="58"/>
      <c r="J14" s="59"/>
      <c r="K14" s="58"/>
      <c r="L14" s="59"/>
      <c r="P14" s="59"/>
      <c r="S14" s="59"/>
      <c r="V14" s="58"/>
      <c r="W14" s="59"/>
      <c r="X14" s="58"/>
      <c r="Y14" s="59"/>
    </row>
    <row r="15" spans="1:26" ht="15">
      <c r="A15" s="64" t="s">
        <v>3</v>
      </c>
      <c r="B15" s="52">
        <f>SUM(B4:B14)</f>
        <v>20</v>
      </c>
      <c r="C15" s="52">
        <f>SUM(C4:C14)</f>
        <v>20</v>
      </c>
      <c r="D15" s="52">
        <f>SUM(D4:D14)</f>
        <v>5</v>
      </c>
      <c r="E15" s="52">
        <f>SUM(E4:E14)</f>
        <v>5</v>
      </c>
      <c r="F15" s="66">
        <f>MAX(F4:F13)</f>
        <v>50</v>
      </c>
      <c r="H15" s="66">
        <f>MAX(H4:H13)</f>
        <v>34</v>
      </c>
      <c r="I15" s="52">
        <f>SUM(I4:I14)</f>
        <v>13</v>
      </c>
      <c r="J15" s="52">
        <f>SUM(J4:J14)</f>
        <v>15</v>
      </c>
      <c r="K15" s="65">
        <f>SUM(K4:K14)</f>
        <v>3</v>
      </c>
      <c r="L15" s="52">
        <f>SUM(L4:L14)</f>
        <v>3</v>
      </c>
      <c r="N15" s="64" t="s">
        <v>3</v>
      </c>
      <c r="O15" s="52">
        <f>SUM(O4:O14)</f>
        <v>5</v>
      </c>
      <c r="P15" s="65">
        <f>SUM(P4:P14)</f>
        <v>27</v>
      </c>
      <c r="Q15" s="52">
        <f>SUM(Q4:Q14)</f>
        <v>6</v>
      </c>
      <c r="R15" s="52">
        <f>SUM(R4:R14)</f>
        <v>4</v>
      </c>
      <c r="S15" s="66">
        <f>MAX(S4:S13)</f>
        <v>42</v>
      </c>
      <c r="U15" s="66">
        <f>MAX(U4:U13)</f>
        <v>50</v>
      </c>
      <c r="V15" s="52">
        <f>SUM(V4:V14)</f>
        <v>19</v>
      </c>
      <c r="W15" s="52">
        <f>SUM(W4:W14)</f>
        <v>13</v>
      </c>
      <c r="X15" s="52">
        <f>SUM(X4:X14)</f>
        <v>8</v>
      </c>
      <c r="Y15" s="52">
        <f>SUM(Y4:Y14)</f>
        <v>10</v>
      </c>
    </row>
    <row r="16" spans="1:26" ht="15">
      <c r="A16" s="67" t="s">
        <v>4</v>
      </c>
      <c r="B16" s="53">
        <f>COUNTA(B4:B14)</f>
        <v>3</v>
      </c>
      <c r="C16" s="53">
        <f>COUNTA(C4:C14)</f>
        <v>3</v>
      </c>
      <c r="D16" s="53">
        <f>COUNTA(D4:D14)</f>
        <v>2</v>
      </c>
      <c r="E16" s="53">
        <f>COUNTA(E4:E14)</f>
        <v>2</v>
      </c>
      <c r="F16" s="66">
        <f>SUM(B16:E16)</f>
        <v>10</v>
      </c>
      <c r="H16" s="66">
        <f>SUM(I16:L16)</f>
        <v>9</v>
      </c>
      <c r="I16" s="53">
        <f>COUNTA(I4:I14)</f>
        <v>3</v>
      </c>
      <c r="J16" s="53">
        <f>COUNTA(J4:J14)</f>
        <v>2</v>
      </c>
      <c r="K16" s="53">
        <f>COUNTA(K4:K14)</f>
        <v>2</v>
      </c>
      <c r="L16" s="53">
        <f>COUNTA(L4:L14)</f>
        <v>2</v>
      </c>
      <c r="N16" s="67" t="s">
        <v>4</v>
      </c>
      <c r="O16" s="53">
        <f>COUNTA(O4:O14)</f>
        <v>3</v>
      </c>
      <c r="P16" s="53">
        <f>COUNTA(P4:P14)</f>
        <v>3</v>
      </c>
      <c r="Q16" s="53">
        <f>COUNTA(Q4:Q14)</f>
        <v>2</v>
      </c>
      <c r="R16" s="53">
        <f>COUNTA(R4:R14)</f>
        <v>2</v>
      </c>
      <c r="S16" s="66">
        <f>SUM(O16:R16)</f>
        <v>10</v>
      </c>
      <c r="U16" s="66">
        <f>SUM(V16:Y16)</f>
        <v>10</v>
      </c>
      <c r="V16" s="53">
        <f>COUNTA(V4:V14)</f>
        <v>3</v>
      </c>
      <c r="W16" s="53">
        <f>COUNTA(W4:W14)</f>
        <v>3</v>
      </c>
      <c r="X16" s="53">
        <f>COUNTA(X4:X14)</f>
        <v>2</v>
      </c>
      <c r="Y16" s="53">
        <f>COUNTA(Y4:Y14)</f>
        <v>2</v>
      </c>
    </row>
    <row r="17" spans="1:25" ht="15">
      <c r="A17" s="64" t="s">
        <v>6</v>
      </c>
      <c r="B17" s="52">
        <f>B16-COUNT(B4:B14)</f>
        <v>1</v>
      </c>
      <c r="C17" s="52">
        <f>C16-COUNT(C4:C14)</f>
        <v>0</v>
      </c>
      <c r="D17" s="52">
        <f>D16-COUNT(D4:D14)</f>
        <v>1</v>
      </c>
      <c r="E17" s="52">
        <f>E16-COUNT(E4:E14)</f>
        <v>0</v>
      </c>
      <c r="F17" s="66">
        <f>SUM(B17:E17)</f>
        <v>2</v>
      </c>
      <c r="H17" s="66">
        <f>SUM(I17:L17)</f>
        <v>2</v>
      </c>
      <c r="I17" s="52">
        <f>I16-COUNT(I4:I14)</f>
        <v>0</v>
      </c>
      <c r="J17" s="65">
        <f>J16-COUNT(J4:J14)</f>
        <v>0</v>
      </c>
      <c r="K17" s="52">
        <f>K16-COUNT(K4:K14)</f>
        <v>1</v>
      </c>
      <c r="L17" s="52">
        <f>L16-COUNT(L4:L14)</f>
        <v>1</v>
      </c>
      <c r="N17" s="64" t="s">
        <v>6</v>
      </c>
      <c r="O17" s="52">
        <f>O16-COUNT(O4:O14)</f>
        <v>1</v>
      </c>
      <c r="P17" s="65">
        <f>P16-COUNT(P4:P14)</f>
        <v>0</v>
      </c>
      <c r="Q17" s="65">
        <f>Q16-COUNT(Q4:Q14)</f>
        <v>1</v>
      </c>
      <c r="R17" s="52">
        <f>R16-COUNT(R4:R14)</f>
        <v>1</v>
      </c>
      <c r="S17" s="66">
        <f>SUM(O17:R17)</f>
        <v>3</v>
      </c>
      <c r="U17" s="66">
        <f>SUM(V17:Y17)</f>
        <v>0</v>
      </c>
      <c r="V17" s="52">
        <f>V16-COUNT(V4:V14)</f>
        <v>0</v>
      </c>
      <c r="W17" s="52">
        <f>W16-COUNT(W4:W14)</f>
        <v>0</v>
      </c>
      <c r="X17" s="52">
        <f>X16-COUNT(X4:X14)</f>
        <v>0</v>
      </c>
      <c r="Y17" s="52">
        <f>Y16-COUNT(Y4:Y14)</f>
        <v>0</v>
      </c>
    </row>
    <row r="18" spans="1:25" ht="15">
      <c r="A18" s="64" t="s">
        <v>12</v>
      </c>
      <c r="B18" s="75">
        <f>B17/B16</f>
        <v>0.33333333333333331</v>
      </c>
      <c r="C18" s="72">
        <f>C17/C16</f>
        <v>0</v>
      </c>
      <c r="D18" s="72">
        <f>D17/D16</f>
        <v>0.5</v>
      </c>
      <c r="E18" s="72">
        <f>E17/E16</f>
        <v>0</v>
      </c>
      <c r="F18" s="74">
        <f>F17/F16</f>
        <v>0.2</v>
      </c>
      <c r="H18" s="74">
        <f>H17/H16</f>
        <v>0.22222222222222221</v>
      </c>
      <c r="I18" s="72">
        <f>I17/I16</f>
        <v>0</v>
      </c>
      <c r="J18" s="73">
        <f>J17/J16</f>
        <v>0</v>
      </c>
      <c r="K18" s="72">
        <f>K17/K16</f>
        <v>0.5</v>
      </c>
      <c r="L18" s="72">
        <f>L17/L16</f>
        <v>0.5</v>
      </c>
      <c r="N18" s="64" t="s">
        <v>12</v>
      </c>
      <c r="O18" s="72">
        <f>O17/O16</f>
        <v>0.33333333333333331</v>
      </c>
      <c r="P18" s="73">
        <f>P17/P16</f>
        <v>0</v>
      </c>
      <c r="Q18" s="73">
        <f>Q17/Q16</f>
        <v>0.5</v>
      </c>
      <c r="R18" s="72">
        <f>R17/R16</f>
        <v>0.5</v>
      </c>
      <c r="S18" s="74">
        <f>S17/S16</f>
        <v>0.3</v>
      </c>
      <c r="U18" s="74">
        <f>U17/U16</f>
        <v>0</v>
      </c>
      <c r="V18" s="72">
        <f>V17/V16</f>
        <v>0</v>
      </c>
      <c r="W18" s="72">
        <f>W17/W16</f>
        <v>0</v>
      </c>
      <c r="X18" s="72">
        <f>X17/X16</f>
        <v>0</v>
      </c>
      <c r="Y18" s="72">
        <f>Y17/Y16</f>
        <v>0</v>
      </c>
    </row>
    <row r="19" spans="1:25" ht="15">
      <c r="A19" s="64" t="s">
        <v>5</v>
      </c>
      <c r="B19" s="79">
        <f>B15/B16</f>
        <v>6.666666666666667</v>
      </c>
      <c r="C19" s="79">
        <f>C15/C16</f>
        <v>6.666666666666667</v>
      </c>
      <c r="D19" s="79">
        <f>D15/D16</f>
        <v>2.5</v>
      </c>
      <c r="E19" s="79">
        <f>E15/E16</f>
        <v>2.5</v>
      </c>
      <c r="F19" s="81">
        <f>F15/F16</f>
        <v>5</v>
      </c>
      <c r="H19" s="81">
        <f>H15/H16</f>
        <v>3.7777777777777777</v>
      </c>
      <c r="I19" s="79">
        <f>I15/I16</f>
        <v>4.333333333333333</v>
      </c>
      <c r="J19" s="79">
        <f>J15/J16</f>
        <v>7.5</v>
      </c>
      <c r="K19" s="80">
        <f>K15/K16</f>
        <v>1.5</v>
      </c>
      <c r="L19" s="79">
        <f>L15/L16</f>
        <v>1.5</v>
      </c>
      <c r="N19" s="64" t="s">
        <v>5</v>
      </c>
      <c r="O19" s="79">
        <f>O15/O16</f>
        <v>1.6666666666666667</v>
      </c>
      <c r="P19" s="80">
        <f>P15/P16</f>
        <v>9</v>
      </c>
      <c r="Q19" s="79">
        <f>Q15/Q16</f>
        <v>3</v>
      </c>
      <c r="R19" s="79">
        <f>R15/R16</f>
        <v>2</v>
      </c>
      <c r="S19" s="81">
        <f>S15/S16</f>
        <v>4.2</v>
      </c>
      <c r="U19" s="81">
        <f>U15/U16</f>
        <v>5</v>
      </c>
      <c r="V19" s="79">
        <f>V15/V16</f>
        <v>6.333333333333333</v>
      </c>
      <c r="W19" s="79">
        <f>W15/W16</f>
        <v>4.333333333333333</v>
      </c>
      <c r="X19" s="79">
        <f>X15/X16</f>
        <v>4</v>
      </c>
      <c r="Y19" s="79">
        <f>Y15/Y16</f>
        <v>5</v>
      </c>
    </row>
    <row r="20" spans="1:25" ht="15">
      <c r="A20" s="64" t="s">
        <v>8</v>
      </c>
      <c r="B20" s="84">
        <f>B15/(B16-B17)</f>
        <v>10</v>
      </c>
      <c r="C20" s="84">
        <f>C15/(C16-C17)</f>
        <v>6.666666666666667</v>
      </c>
      <c r="D20" s="84">
        <f>D15/(D16-D17)</f>
        <v>5</v>
      </c>
      <c r="E20" s="84">
        <f>E15/(E16-E17)</f>
        <v>2.5</v>
      </c>
      <c r="F20" s="85">
        <f>F15/(F16-F17)</f>
        <v>6.25</v>
      </c>
      <c r="H20" s="85">
        <f>H15/(H16-H17)</f>
        <v>4.8571428571428568</v>
      </c>
      <c r="I20" s="84">
        <f>I15/(I16-I17)</f>
        <v>4.333333333333333</v>
      </c>
      <c r="J20" s="79">
        <f>J15/(J16-J17)</f>
        <v>7.5</v>
      </c>
      <c r="K20" s="80">
        <f>K15/(K16-K17)</f>
        <v>3</v>
      </c>
      <c r="L20" s="84">
        <v>0</v>
      </c>
      <c r="N20" s="64" t="s">
        <v>8</v>
      </c>
      <c r="O20" s="79">
        <f>O15/(O16-O17)</f>
        <v>2.5</v>
      </c>
      <c r="P20" s="80">
        <f>P15/(P16-P17)</f>
        <v>9</v>
      </c>
      <c r="Q20" s="84">
        <f>Q15/(Q16-Q17)</f>
        <v>6</v>
      </c>
      <c r="R20" s="84">
        <v>0</v>
      </c>
      <c r="S20" s="85">
        <f>S15/(S16-S17)</f>
        <v>6</v>
      </c>
      <c r="U20" s="85">
        <f>U15/(U16-U17)</f>
        <v>5</v>
      </c>
      <c r="V20" s="84">
        <f>V15/(V16-V17)</f>
        <v>6.333333333333333</v>
      </c>
      <c r="W20" s="84">
        <f>W15/(W16-W17)</f>
        <v>4.333333333333333</v>
      </c>
      <c r="X20" s="84">
        <f>X15/(X16-X17)</f>
        <v>4</v>
      </c>
      <c r="Y20" s="84">
        <f>Y15/(Y16-Y17)</f>
        <v>5</v>
      </c>
    </row>
    <row r="21" spans="1:25">
      <c r="C21" s="59"/>
      <c r="P21" s="59"/>
    </row>
    <row r="22" spans="1:25">
      <c r="C22" s="59"/>
      <c r="P22" s="59"/>
    </row>
    <row r="23" spans="1:25">
      <c r="C23" s="59"/>
      <c r="H23" s="102"/>
      <c r="P23" s="59"/>
    </row>
    <row r="24" spans="1:25">
      <c r="C24" s="59"/>
      <c r="P24" s="59"/>
    </row>
    <row r="25" spans="1:25">
      <c r="C25" s="59"/>
      <c r="P25" s="59"/>
    </row>
    <row r="26" spans="1:25">
      <c r="C26" s="59"/>
      <c r="P26" s="59"/>
    </row>
    <row r="27" spans="1:25">
      <c r="C27" s="59"/>
      <c r="P27" s="59"/>
    </row>
    <row r="28" spans="1:25">
      <c r="C28" s="59"/>
      <c r="P28" s="59"/>
    </row>
    <row r="29" spans="1:25">
      <c r="C29" s="59"/>
      <c r="P29" s="59"/>
    </row>
    <row r="30" spans="1:25">
      <c r="C30" s="59"/>
      <c r="P30" s="59"/>
    </row>
    <row r="31" spans="1:25">
      <c r="C31" s="59"/>
      <c r="P31" s="59"/>
    </row>
    <row r="32" spans="1:25">
      <c r="C32" s="59"/>
      <c r="P32" s="59"/>
    </row>
  </sheetData>
  <mergeCells count="4">
    <mergeCell ref="B1:E1"/>
    <mergeCell ref="O1:R1"/>
    <mergeCell ref="V1:Y1"/>
    <mergeCell ref="I1:L1"/>
  </mergeCells>
  <conditionalFormatting sqref="F4">
    <cfRule type="cellIs" dxfId="211" priority="15" operator="lessThan">
      <formula>H4</formula>
    </cfRule>
    <cfRule type="cellIs" dxfId="210" priority="16" operator="greaterThanOrEqual">
      <formula>H4</formula>
    </cfRule>
  </conditionalFormatting>
  <conditionalFormatting sqref="H4">
    <cfRule type="cellIs" dxfId="209" priority="13" operator="lessThan">
      <formula>F4</formula>
    </cfRule>
    <cfRule type="cellIs" dxfId="208" priority="14" operator="greaterThanOrEqual">
      <formula>F4</formula>
    </cfRule>
  </conditionalFormatting>
  <conditionalFormatting sqref="F5:F13">
    <cfRule type="cellIs" dxfId="207" priority="11" operator="lessThan">
      <formula>H5</formula>
    </cfRule>
    <cfRule type="cellIs" dxfId="206" priority="12" operator="greaterThanOrEqual">
      <formula>H5</formula>
    </cfRule>
  </conditionalFormatting>
  <conditionalFormatting sqref="H5:H13">
    <cfRule type="cellIs" dxfId="205" priority="9" operator="lessThan">
      <formula>F5</formula>
    </cfRule>
    <cfRule type="cellIs" dxfId="204" priority="10" operator="greaterThanOrEqual">
      <formula>F5</formula>
    </cfRule>
  </conditionalFormatting>
  <conditionalFormatting sqref="S4">
    <cfRule type="cellIs" dxfId="203" priority="7" operator="lessThan">
      <formula>U4</formula>
    </cfRule>
    <cfRule type="cellIs" dxfId="202" priority="8" operator="greaterThanOrEqual">
      <formula>U4</formula>
    </cfRule>
  </conditionalFormatting>
  <conditionalFormatting sqref="U4">
    <cfRule type="cellIs" dxfId="201" priority="5" operator="lessThan">
      <formula>S4</formula>
    </cfRule>
    <cfRule type="cellIs" dxfId="200" priority="6" operator="greaterThanOrEqual">
      <formula>S4</formula>
    </cfRule>
  </conditionalFormatting>
  <conditionalFormatting sqref="S5:S13">
    <cfRule type="cellIs" dxfId="199" priority="3" operator="lessThan">
      <formula>U5</formula>
    </cfRule>
    <cfRule type="cellIs" dxfId="198" priority="4" operator="greaterThanOrEqual">
      <formula>U5</formula>
    </cfRule>
  </conditionalFormatting>
  <conditionalFormatting sqref="U5:U13">
    <cfRule type="cellIs" dxfId="197" priority="1" operator="lessThan">
      <formula>S5</formula>
    </cfRule>
    <cfRule type="cellIs" dxfId="196" priority="2" operator="greaterThanOrEqual">
      <formula>S5</formula>
    </cfRule>
  </conditionalFormatting>
  <pageMargins left="0.78740157480314965" right="0.59055118110236227" top="0.59055118110236227" bottom="0.59055118110236227" header="0.59055118110236227" footer="0.59055118110236227"/>
  <pageSetup paperSize="9" scale="72" orientation="landscape" r:id="rId1"/>
  <ignoredErrors>
    <ignoredError sqref="D15:E17 B15:B17 W15:Y1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29"/>
  <sheetViews>
    <sheetView zoomScale="90" zoomScaleNormal="90" workbookViewId="0"/>
  </sheetViews>
  <sheetFormatPr baseColWidth="10" defaultRowHeight="14.25"/>
  <cols>
    <col min="1" max="1" width="14.28515625" style="40" bestFit="1" customWidth="1"/>
    <col min="2" max="4" width="7.7109375" style="58" customWidth="1"/>
    <col min="5" max="5" width="7.7109375" style="59" customWidth="1"/>
    <col min="6" max="6" width="5.140625" style="35" bestFit="1" customWidth="1"/>
    <col min="7" max="7" width="4.7109375" style="35" customWidth="1"/>
    <col min="8" max="8" width="5.140625" style="35" bestFit="1" customWidth="1"/>
    <col min="9" max="12" width="7.7109375" style="35" customWidth="1"/>
    <col min="13" max="13" width="11.42578125" style="35"/>
    <col min="14" max="14" width="14.28515625" style="40" bestFit="1" customWidth="1"/>
    <col min="15" max="17" width="7.7109375" style="58" customWidth="1"/>
    <col min="18" max="18" width="7.7109375" style="59" customWidth="1"/>
    <col min="19" max="19" width="5.140625" style="59" bestFit="1" customWidth="1"/>
    <col min="20" max="20" width="4.7109375" style="35" customWidth="1"/>
    <col min="21" max="21" width="5.140625" style="35" bestFit="1" customWidth="1"/>
    <col min="22" max="25" width="7.7109375" style="35" customWidth="1"/>
    <col min="26" max="16384" width="11.42578125" style="35"/>
  </cols>
  <sheetData>
    <row r="1" spans="1:25" ht="15">
      <c r="B1" s="1540" t="s">
        <v>103</v>
      </c>
      <c r="C1" s="1540"/>
      <c r="D1" s="1540"/>
      <c r="E1" s="1540"/>
      <c r="F1" s="41">
        <f>IF(COUNTIF(F4:F10,"&gt;37")=0,0,COUNTIF(F4:F10,"&gt;37")-1)</f>
        <v>1</v>
      </c>
      <c r="H1" s="41">
        <f>IF(COUNTIF(H4:H10,"&gt;37")=0,0,COUNTIF(H4:H10,"&gt;37")-1)</f>
        <v>0</v>
      </c>
      <c r="I1" s="1541" t="s">
        <v>97</v>
      </c>
      <c r="J1" s="1541"/>
      <c r="K1" s="1541"/>
      <c r="L1" s="1541"/>
      <c r="O1" s="1540" t="s">
        <v>97</v>
      </c>
      <c r="P1" s="1540"/>
      <c r="Q1" s="1540"/>
      <c r="R1" s="1540"/>
      <c r="S1" s="41">
        <f>IF(COUNTIF(S4:S10,"&gt;37")=0,0,COUNTIF(S4:S10,"&gt;37")-1)</f>
        <v>1</v>
      </c>
      <c r="U1" s="41">
        <f>IF(COUNTIF(U4:U10,"&gt;37")=0,0,COUNTIF(U4:U10,"&gt;37")-1)</f>
        <v>0</v>
      </c>
      <c r="V1" s="1541" t="s">
        <v>103</v>
      </c>
      <c r="W1" s="1541"/>
      <c r="X1" s="1541"/>
      <c r="Y1" s="1541"/>
    </row>
    <row r="2" spans="1:25" ht="15">
      <c r="B2" s="469">
        <v>1</v>
      </c>
      <c r="C2" s="470">
        <v>2</v>
      </c>
      <c r="D2" s="471">
        <v>3</v>
      </c>
      <c r="E2" s="472">
        <v>4</v>
      </c>
      <c r="F2" s="101"/>
      <c r="G2" s="102"/>
      <c r="I2" s="137">
        <v>1</v>
      </c>
      <c r="J2" s="138">
        <v>2</v>
      </c>
      <c r="K2" s="139">
        <v>3</v>
      </c>
      <c r="L2" s="468">
        <v>4</v>
      </c>
      <c r="O2" s="469">
        <v>1</v>
      </c>
      <c r="P2" s="470">
        <v>2</v>
      </c>
      <c r="Q2" s="471">
        <v>3</v>
      </c>
      <c r="R2" s="472">
        <v>4</v>
      </c>
      <c r="S2" s="102"/>
      <c r="T2" s="102"/>
      <c r="U2" s="102"/>
      <c r="V2" s="137">
        <v>1</v>
      </c>
      <c r="W2" s="138">
        <v>2</v>
      </c>
      <c r="X2" s="139">
        <v>3</v>
      </c>
      <c r="Y2" s="468">
        <v>4</v>
      </c>
    </row>
    <row r="3" spans="1:25" ht="47.25">
      <c r="B3" s="475" t="s">
        <v>1</v>
      </c>
      <c r="C3" s="475" t="s">
        <v>104</v>
      </c>
      <c r="D3" s="475" t="s">
        <v>53</v>
      </c>
      <c r="E3" s="475" t="s">
        <v>96</v>
      </c>
      <c r="F3" s="102"/>
      <c r="G3" s="102"/>
      <c r="H3" s="102"/>
      <c r="I3" s="140" t="s">
        <v>0</v>
      </c>
      <c r="J3" s="140" t="s">
        <v>56</v>
      </c>
      <c r="K3" s="140" t="s">
        <v>1</v>
      </c>
      <c r="L3" s="140" t="s">
        <v>53</v>
      </c>
      <c r="O3" s="475" t="s">
        <v>1</v>
      </c>
      <c r="P3" s="475" t="s">
        <v>53</v>
      </c>
      <c r="Q3" s="475" t="s">
        <v>0</v>
      </c>
      <c r="R3" s="475" t="s">
        <v>56</v>
      </c>
      <c r="S3" s="101"/>
      <c r="T3" s="102"/>
      <c r="V3" s="140" t="s">
        <v>1</v>
      </c>
      <c r="W3" s="140" t="s">
        <v>104</v>
      </c>
      <c r="X3" s="140" t="s">
        <v>53</v>
      </c>
      <c r="Y3" s="140" t="s">
        <v>96</v>
      </c>
    </row>
    <row r="4" spans="1:25">
      <c r="A4" s="51">
        <v>1</v>
      </c>
      <c r="B4" s="52">
        <v>11</v>
      </c>
      <c r="C4" s="53"/>
      <c r="D4" s="53"/>
      <c r="E4" s="89"/>
      <c r="F4" s="54">
        <f>SUM($B$4:E4)</f>
        <v>11</v>
      </c>
      <c r="G4" s="103">
        <f t="shared" ref="G4:G10" si="0">F4-H4</f>
        <v>9</v>
      </c>
      <c r="H4" s="54">
        <f>SUM($I$4:L4)</f>
        <v>2</v>
      </c>
      <c r="I4" s="99">
        <v>2</v>
      </c>
      <c r="J4" s="53"/>
      <c r="K4" s="53"/>
      <c r="L4" s="89"/>
      <c r="N4" s="51">
        <v>1</v>
      </c>
      <c r="O4" s="52">
        <v>8</v>
      </c>
      <c r="P4" s="53"/>
      <c r="Q4" s="53"/>
      <c r="R4" s="89"/>
      <c r="S4" s="54">
        <f>SUM($O$4:R4)</f>
        <v>8</v>
      </c>
      <c r="T4" s="103">
        <f>S4-U4</f>
        <v>0</v>
      </c>
      <c r="U4" s="55">
        <f>SUM($V$4:Y4)</f>
        <v>8</v>
      </c>
      <c r="V4" s="52">
        <v>8</v>
      </c>
      <c r="W4" s="53"/>
      <c r="X4" s="53"/>
      <c r="Y4" s="89"/>
    </row>
    <row r="5" spans="1:25">
      <c r="A5" s="56">
        <v>2</v>
      </c>
      <c r="B5" s="53"/>
      <c r="C5" s="52">
        <v>7</v>
      </c>
      <c r="D5" s="53"/>
      <c r="E5" s="53"/>
      <c r="F5" s="54">
        <f>SUM($B$4:E5)</f>
        <v>18</v>
      </c>
      <c r="G5" s="103">
        <f t="shared" si="0"/>
        <v>14</v>
      </c>
      <c r="H5" s="54">
        <f>SUM($I$4:L5)</f>
        <v>4</v>
      </c>
      <c r="I5" s="100"/>
      <c r="J5" s="52">
        <v>2</v>
      </c>
      <c r="K5" s="53"/>
      <c r="L5" s="53"/>
      <c r="N5" s="56">
        <v>2</v>
      </c>
      <c r="O5" s="53"/>
      <c r="P5" s="52">
        <v>7</v>
      </c>
      <c r="Q5" s="53"/>
      <c r="R5" s="53"/>
      <c r="S5" s="54">
        <f>SUM($O$4:R5)</f>
        <v>15</v>
      </c>
      <c r="T5" s="103">
        <f t="shared" ref="T5:T10" si="1">S5-U5</f>
        <v>-3</v>
      </c>
      <c r="U5" s="55">
        <f>SUM($V$4:Y5)</f>
        <v>18</v>
      </c>
      <c r="V5" s="53"/>
      <c r="W5" s="52">
        <v>10</v>
      </c>
      <c r="X5" s="53"/>
      <c r="Y5" s="53"/>
    </row>
    <row r="6" spans="1:25">
      <c r="A6" s="56">
        <v>3</v>
      </c>
      <c r="B6" s="52"/>
      <c r="C6" s="53"/>
      <c r="D6" s="53">
        <v>8</v>
      </c>
      <c r="E6" s="89"/>
      <c r="F6" s="54">
        <f>SUM($B$4:E6)</f>
        <v>26</v>
      </c>
      <c r="G6" s="103">
        <f t="shared" si="0"/>
        <v>14</v>
      </c>
      <c r="H6" s="54">
        <f>SUM($I$4:L6)</f>
        <v>12</v>
      </c>
      <c r="I6" s="99"/>
      <c r="J6" s="53"/>
      <c r="K6" s="53">
        <v>8</v>
      </c>
      <c r="L6" s="89"/>
      <c r="N6" s="56">
        <v>3</v>
      </c>
      <c r="O6" s="52"/>
      <c r="P6" s="53"/>
      <c r="Q6" s="53">
        <v>10</v>
      </c>
      <c r="R6" s="89"/>
      <c r="S6" s="54">
        <f>SUM($O$4:R6)</f>
        <v>25</v>
      </c>
      <c r="T6" s="103">
        <f t="shared" si="1"/>
        <v>7</v>
      </c>
      <c r="U6" s="55">
        <f>SUM($V$4:Y6)</f>
        <v>18</v>
      </c>
      <c r="V6" s="52"/>
      <c r="W6" s="53"/>
      <c r="X6" s="53" t="s">
        <v>2</v>
      </c>
      <c r="Y6" s="89"/>
    </row>
    <row r="7" spans="1:25">
      <c r="A7" s="56">
        <v>4</v>
      </c>
      <c r="B7" s="53"/>
      <c r="C7" s="52"/>
      <c r="D7" s="53"/>
      <c r="E7" s="53">
        <v>5</v>
      </c>
      <c r="F7" s="54">
        <f>SUM($B$4:E7)</f>
        <v>31</v>
      </c>
      <c r="G7" s="103">
        <f t="shared" si="0"/>
        <v>11</v>
      </c>
      <c r="H7" s="54">
        <f>SUM($I$4:L7)</f>
        <v>20</v>
      </c>
      <c r="I7" s="100"/>
      <c r="J7" s="52"/>
      <c r="K7" s="53"/>
      <c r="L7" s="53">
        <v>8</v>
      </c>
      <c r="N7" s="56">
        <v>4</v>
      </c>
      <c r="O7" s="53"/>
      <c r="P7" s="52"/>
      <c r="Q7" s="53"/>
      <c r="R7" s="53">
        <v>5</v>
      </c>
      <c r="S7" s="54">
        <f>SUM($O$4:R7)</f>
        <v>30</v>
      </c>
      <c r="T7" s="103">
        <f t="shared" si="1"/>
        <v>7</v>
      </c>
      <c r="U7" s="55">
        <f>SUM($V$4:Y7)</f>
        <v>23</v>
      </c>
      <c r="V7" s="53"/>
      <c r="W7" s="52"/>
      <c r="X7" s="53"/>
      <c r="Y7" s="53">
        <v>5</v>
      </c>
    </row>
    <row r="8" spans="1:25">
      <c r="A8" s="56">
        <v>5</v>
      </c>
      <c r="B8" s="52">
        <v>3</v>
      </c>
      <c r="C8" s="53"/>
      <c r="D8" s="53"/>
      <c r="E8" s="89"/>
      <c r="F8" s="54">
        <f>SUM($B$4:E8)</f>
        <v>34</v>
      </c>
      <c r="G8" s="103">
        <f t="shared" si="0"/>
        <v>14</v>
      </c>
      <c r="H8" s="54">
        <f>SUM($I$4:L8)</f>
        <v>20</v>
      </c>
      <c r="I8" s="99" t="s">
        <v>2</v>
      </c>
      <c r="J8" s="53"/>
      <c r="K8" s="53"/>
      <c r="L8" s="89"/>
      <c r="N8" s="56">
        <v>5</v>
      </c>
      <c r="O8" s="52" t="s">
        <v>2</v>
      </c>
      <c r="P8" s="53"/>
      <c r="Q8" s="53"/>
      <c r="R8" s="89"/>
      <c r="S8" s="54">
        <f>SUM($O$4:R8)</f>
        <v>30</v>
      </c>
      <c r="T8" s="103">
        <f t="shared" si="1"/>
        <v>7</v>
      </c>
      <c r="U8" s="55">
        <f>SUM($V$4:Y8)</f>
        <v>23</v>
      </c>
      <c r="V8" s="52" t="s">
        <v>2</v>
      </c>
      <c r="W8" s="53"/>
      <c r="X8" s="53"/>
      <c r="Y8" s="89"/>
    </row>
    <row r="9" spans="1:25">
      <c r="A9" s="56">
        <v>6</v>
      </c>
      <c r="B9" s="53"/>
      <c r="C9" s="53">
        <v>5</v>
      </c>
      <c r="D9" s="53"/>
      <c r="E9" s="53"/>
      <c r="F9" s="54">
        <f>SUM($B$4:E9)</f>
        <v>39</v>
      </c>
      <c r="G9" s="103">
        <f t="shared" si="0"/>
        <v>7</v>
      </c>
      <c r="H9" s="54">
        <f>SUM($I$4:L9)</f>
        <v>32</v>
      </c>
      <c r="I9" s="100"/>
      <c r="J9" s="52">
        <v>12</v>
      </c>
      <c r="K9" s="53"/>
      <c r="L9" s="53"/>
      <c r="N9" s="56">
        <v>6</v>
      </c>
      <c r="O9" s="53"/>
      <c r="P9" s="52">
        <v>10</v>
      </c>
      <c r="Q9" s="53"/>
      <c r="R9" s="53"/>
      <c r="S9" s="54">
        <f>SUM($O$4:R9)</f>
        <v>40</v>
      </c>
      <c r="T9" s="103">
        <f t="shared" si="1"/>
        <v>15</v>
      </c>
      <c r="U9" s="55">
        <f>SUM($V$4:Y9)</f>
        <v>25</v>
      </c>
      <c r="V9" s="53"/>
      <c r="W9" s="52">
        <v>2</v>
      </c>
      <c r="X9" s="53"/>
      <c r="Y9" s="53"/>
    </row>
    <row r="10" spans="1:25">
      <c r="A10" s="51">
        <v>7</v>
      </c>
      <c r="B10" s="52"/>
      <c r="C10" s="53"/>
      <c r="D10" s="53">
        <v>11</v>
      </c>
      <c r="E10" s="89"/>
      <c r="F10" s="54">
        <f>SUM($B$4:E10)</f>
        <v>50</v>
      </c>
      <c r="G10" s="103">
        <f t="shared" si="0"/>
        <v>18</v>
      </c>
      <c r="H10" s="54">
        <f>SUM($I$4:L10)</f>
        <v>32</v>
      </c>
      <c r="I10" s="99"/>
      <c r="J10" s="53"/>
      <c r="K10" s="53"/>
      <c r="L10" s="89"/>
      <c r="N10" s="56">
        <v>7</v>
      </c>
      <c r="O10" s="52"/>
      <c r="P10" s="53"/>
      <c r="Q10" s="53">
        <v>10</v>
      </c>
      <c r="R10" s="89"/>
      <c r="S10" s="54">
        <f>SUM($O$4:R10)</f>
        <v>50</v>
      </c>
      <c r="T10" s="103">
        <f t="shared" si="1"/>
        <v>25</v>
      </c>
      <c r="U10" s="55">
        <f>SUM($V$4:Y10)</f>
        <v>25</v>
      </c>
      <c r="V10" s="52"/>
      <c r="W10" s="53"/>
      <c r="X10" s="53"/>
      <c r="Y10" s="89"/>
    </row>
    <row r="11" spans="1:25">
      <c r="C11" s="59"/>
      <c r="F11" s="59"/>
      <c r="I11" s="58"/>
      <c r="J11" s="59"/>
      <c r="K11" s="58"/>
      <c r="L11" s="59"/>
      <c r="P11" s="59"/>
      <c r="V11" s="58"/>
      <c r="W11" s="59"/>
      <c r="X11" s="58"/>
      <c r="Y11" s="59"/>
    </row>
    <row r="12" spans="1:25" ht="15">
      <c r="A12" s="64" t="s">
        <v>3</v>
      </c>
      <c r="B12" s="52">
        <f>SUM(B4:B11)</f>
        <v>14</v>
      </c>
      <c r="C12" s="52">
        <f>SUM(C4:C11)</f>
        <v>12</v>
      </c>
      <c r="D12" s="65">
        <f>SUM(D4:D11)</f>
        <v>19</v>
      </c>
      <c r="E12" s="52">
        <f>SUM(E4:E11)</f>
        <v>5</v>
      </c>
      <c r="F12" s="66">
        <f>MAX(F4:F10)</f>
        <v>50</v>
      </c>
      <c r="H12" s="66">
        <f>MAX(H4:H10)</f>
        <v>32</v>
      </c>
      <c r="I12" s="52">
        <f>SUM(I4:I11)</f>
        <v>2</v>
      </c>
      <c r="J12" s="52">
        <f>SUM(J4:J11)</f>
        <v>14</v>
      </c>
      <c r="K12" s="52">
        <f>SUM(K4:K11)</f>
        <v>8</v>
      </c>
      <c r="L12" s="52">
        <f>SUM(L4:L11)</f>
        <v>8</v>
      </c>
      <c r="N12" s="64" t="s">
        <v>3</v>
      </c>
      <c r="O12" s="52">
        <f>SUM(O4:O11)</f>
        <v>8</v>
      </c>
      <c r="P12" s="52">
        <f>SUM(P4:P11)</f>
        <v>17</v>
      </c>
      <c r="Q12" s="52">
        <f>SUM(Q4:Q11)</f>
        <v>20</v>
      </c>
      <c r="R12" s="52">
        <f>SUM(R4:R11)</f>
        <v>5</v>
      </c>
      <c r="S12" s="66">
        <f>MAX(S4:S10)</f>
        <v>50</v>
      </c>
      <c r="U12" s="66">
        <f>MAX(U4:U10)</f>
        <v>25</v>
      </c>
      <c r="V12" s="52">
        <f>SUM(V4:V11)</f>
        <v>8</v>
      </c>
      <c r="W12" s="52">
        <f>SUM(W4:W11)</f>
        <v>12</v>
      </c>
      <c r="X12" s="65">
        <f>SUM(X4:X11)</f>
        <v>0</v>
      </c>
      <c r="Y12" s="52">
        <f>SUM(Y4:Y11)</f>
        <v>5</v>
      </c>
    </row>
    <row r="13" spans="1:25" ht="15">
      <c r="A13" s="67" t="s">
        <v>4</v>
      </c>
      <c r="B13" s="53">
        <f>COUNTA(B4:B11)</f>
        <v>2</v>
      </c>
      <c r="C13" s="53">
        <f>COUNTA(C4:C11)</f>
        <v>2</v>
      </c>
      <c r="D13" s="53">
        <f>COUNTA(D4:D11)</f>
        <v>2</v>
      </c>
      <c r="E13" s="53">
        <f>COUNTA(E4:E11)</f>
        <v>1</v>
      </c>
      <c r="F13" s="66">
        <f>SUM(B13:E13)</f>
        <v>7</v>
      </c>
      <c r="H13" s="66">
        <f>SUM(I13:L13)</f>
        <v>6</v>
      </c>
      <c r="I13" s="53">
        <f>COUNTA(I4:I11)</f>
        <v>2</v>
      </c>
      <c r="J13" s="53">
        <f>COUNTA(J4:J11)</f>
        <v>2</v>
      </c>
      <c r="K13" s="53">
        <f>COUNTA(K4:K11)</f>
        <v>1</v>
      </c>
      <c r="L13" s="53">
        <f>COUNTA(L4:L11)</f>
        <v>1</v>
      </c>
      <c r="N13" s="67" t="s">
        <v>4</v>
      </c>
      <c r="O13" s="53">
        <f>COUNTA(O4:O11)</f>
        <v>2</v>
      </c>
      <c r="P13" s="53">
        <f>COUNTA(P4:P11)</f>
        <v>2</v>
      </c>
      <c r="Q13" s="53">
        <f>COUNTA(Q4:Q11)</f>
        <v>2</v>
      </c>
      <c r="R13" s="53">
        <f>COUNTA(R4:R11)</f>
        <v>1</v>
      </c>
      <c r="S13" s="66">
        <f>SUM(O13:R13)</f>
        <v>7</v>
      </c>
      <c r="U13" s="66">
        <f>SUM(V13:Y13)</f>
        <v>6</v>
      </c>
      <c r="V13" s="53">
        <f>COUNTA(V4:V11)</f>
        <v>2</v>
      </c>
      <c r="W13" s="53">
        <f>COUNTA(W4:W11)</f>
        <v>2</v>
      </c>
      <c r="X13" s="53">
        <f>COUNTA(X4:X11)</f>
        <v>1</v>
      </c>
      <c r="Y13" s="53">
        <f>COUNTA(Y4:Y11)</f>
        <v>1</v>
      </c>
    </row>
    <row r="14" spans="1:25" ht="15">
      <c r="A14" s="64" t="s">
        <v>6</v>
      </c>
      <c r="B14" s="52">
        <f>B13-COUNT(B4:B11)</f>
        <v>0</v>
      </c>
      <c r="C14" s="52">
        <f>C13-COUNT(C4:C11)</f>
        <v>0</v>
      </c>
      <c r="D14" s="52">
        <f>D13-COUNT(D4:D11)</f>
        <v>0</v>
      </c>
      <c r="E14" s="52">
        <f>E13-COUNT(E4:E11)</f>
        <v>0</v>
      </c>
      <c r="F14" s="66">
        <f>SUM(B14:E14)</f>
        <v>0</v>
      </c>
      <c r="H14" s="66">
        <f>SUM(I14:L14)</f>
        <v>1</v>
      </c>
      <c r="I14" s="52">
        <f>I13-COUNT(I4:I11)</f>
        <v>1</v>
      </c>
      <c r="J14" s="52">
        <f>J13-COUNT(J4:J11)</f>
        <v>0</v>
      </c>
      <c r="K14" s="52">
        <f>K13-COUNT(K4:K11)</f>
        <v>0</v>
      </c>
      <c r="L14" s="52">
        <f>L13-COUNT(L4:L11)</f>
        <v>0</v>
      </c>
      <c r="N14" s="64" t="s">
        <v>6</v>
      </c>
      <c r="O14" s="52">
        <f>O13-COUNT(O4:O11)</f>
        <v>1</v>
      </c>
      <c r="P14" s="52">
        <f>P13-COUNT(P4:P11)</f>
        <v>0</v>
      </c>
      <c r="Q14" s="52">
        <f>Q13-COUNT(Q4:Q11)</f>
        <v>0</v>
      </c>
      <c r="R14" s="52">
        <f>R13-COUNT(R4:R11)</f>
        <v>0</v>
      </c>
      <c r="S14" s="66">
        <f>SUM(O14:R14)</f>
        <v>1</v>
      </c>
      <c r="U14" s="66">
        <f>SUM(V14:Y14)</f>
        <v>2</v>
      </c>
      <c r="V14" s="52">
        <f>V13-COUNT(V4:V11)</f>
        <v>1</v>
      </c>
      <c r="W14" s="52">
        <f>W13-COUNT(W4:W11)</f>
        <v>0</v>
      </c>
      <c r="X14" s="65">
        <f>X13-COUNT(X4:X11)</f>
        <v>1</v>
      </c>
      <c r="Y14" s="52">
        <f>Y13-COUNT(Y4:Y11)</f>
        <v>0</v>
      </c>
    </row>
    <row r="15" spans="1:25" ht="15">
      <c r="A15" s="64" t="s">
        <v>12</v>
      </c>
      <c r="B15" s="72">
        <f>B14/B13</f>
        <v>0</v>
      </c>
      <c r="C15" s="72">
        <f>C14/C13</f>
        <v>0</v>
      </c>
      <c r="D15" s="72">
        <f>D14/D13</f>
        <v>0</v>
      </c>
      <c r="E15" s="72">
        <f>E14/E13</f>
        <v>0</v>
      </c>
      <c r="F15" s="74">
        <f>F14/F13</f>
        <v>0</v>
      </c>
      <c r="H15" s="74">
        <f>H14/H13</f>
        <v>0.16666666666666666</v>
      </c>
      <c r="I15" s="72">
        <f>I14/I13</f>
        <v>0.5</v>
      </c>
      <c r="J15" s="72">
        <f>J14/J13</f>
        <v>0</v>
      </c>
      <c r="K15" s="72">
        <f>K14/K13</f>
        <v>0</v>
      </c>
      <c r="L15" s="72">
        <f>L14/L13</f>
        <v>0</v>
      </c>
      <c r="N15" s="64" t="s">
        <v>12</v>
      </c>
      <c r="O15" s="75">
        <f>O14/O13</f>
        <v>0.5</v>
      </c>
      <c r="P15" s="72">
        <f>P14/P13</f>
        <v>0</v>
      </c>
      <c r="Q15" s="72">
        <f>Q14/Q13</f>
        <v>0</v>
      </c>
      <c r="R15" s="72">
        <f>R14/R13</f>
        <v>0</v>
      </c>
      <c r="S15" s="74">
        <f>S14/S13</f>
        <v>0.14285714285714285</v>
      </c>
      <c r="U15" s="74">
        <f>U14/U13</f>
        <v>0.33333333333333331</v>
      </c>
      <c r="V15" s="72">
        <f>V14/V13</f>
        <v>0.5</v>
      </c>
      <c r="W15" s="72">
        <f>W14/W13</f>
        <v>0</v>
      </c>
      <c r="X15" s="73">
        <f>X14/X13</f>
        <v>1</v>
      </c>
      <c r="Y15" s="72">
        <f>Y14/Y13</f>
        <v>0</v>
      </c>
    </row>
    <row r="16" spans="1:25" ht="15">
      <c r="A16" s="64" t="s">
        <v>5</v>
      </c>
      <c r="B16" s="79">
        <f>B12/B13</f>
        <v>7</v>
      </c>
      <c r="C16" s="80">
        <f>C12/C13</f>
        <v>6</v>
      </c>
      <c r="D16" s="79">
        <f>D12/D13</f>
        <v>9.5</v>
      </c>
      <c r="E16" s="79">
        <f>E12/E13</f>
        <v>5</v>
      </c>
      <c r="F16" s="81">
        <f>F12/F13</f>
        <v>7.1428571428571432</v>
      </c>
      <c r="H16" s="81">
        <f>H12/H13</f>
        <v>5.333333333333333</v>
      </c>
      <c r="I16" s="79">
        <f>I12/I13</f>
        <v>1</v>
      </c>
      <c r="J16" s="79">
        <f>J12/J13</f>
        <v>7</v>
      </c>
      <c r="K16" s="79">
        <f>K12/K13</f>
        <v>8</v>
      </c>
      <c r="L16" s="79">
        <f>L12/L13</f>
        <v>8</v>
      </c>
      <c r="N16" s="64" t="s">
        <v>5</v>
      </c>
      <c r="O16" s="79">
        <f>O12/O13</f>
        <v>4</v>
      </c>
      <c r="P16" s="79">
        <f>P12/P13</f>
        <v>8.5</v>
      </c>
      <c r="Q16" s="79">
        <f>Q12/Q13</f>
        <v>10</v>
      </c>
      <c r="R16" s="79">
        <f>R12/R13</f>
        <v>5</v>
      </c>
      <c r="S16" s="81">
        <f>S12/S13</f>
        <v>7.1428571428571432</v>
      </c>
      <c r="U16" s="81">
        <f>U12/U13</f>
        <v>4.166666666666667</v>
      </c>
      <c r="V16" s="79">
        <f>V12/V13</f>
        <v>4</v>
      </c>
      <c r="W16" s="79">
        <f>W12/W13</f>
        <v>6</v>
      </c>
      <c r="X16" s="80">
        <f>X12/X13</f>
        <v>0</v>
      </c>
      <c r="Y16" s="79">
        <f>Y12/Y13</f>
        <v>5</v>
      </c>
    </row>
    <row r="17" spans="1:25" ht="15">
      <c r="A17" s="64" t="s">
        <v>8</v>
      </c>
      <c r="B17" s="79">
        <f>B12/(B13-B14)</f>
        <v>7</v>
      </c>
      <c r="C17" s="80">
        <f>C12/(C13-C14)</f>
        <v>6</v>
      </c>
      <c r="D17" s="84">
        <f>D12/(D13-D14)</f>
        <v>9.5</v>
      </c>
      <c r="E17" s="84">
        <f>E12/(E13-E14)</f>
        <v>5</v>
      </c>
      <c r="F17" s="85">
        <f>F12/(F13-F14)</f>
        <v>7.1428571428571432</v>
      </c>
      <c r="H17" s="85">
        <f>H12/(H13-H14)</f>
        <v>6.4</v>
      </c>
      <c r="I17" s="84">
        <f>I12/(I13-I14)</f>
        <v>2</v>
      </c>
      <c r="J17" s="84">
        <f>J12/(J13-J14)</f>
        <v>7</v>
      </c>
      <c r="K17" s="660">
        <v>0</v>
      </c>
      <c r="L17" s="84">
        <f>L12/(L13-L14)</f>
        <v>8</v>
      </c>
      <c r="N17" s="64" t="s">
        <v>8</v>
      </c>
      <c r="O17" s="84">
        <f>O12/(O13-O14)</f>
        <v>8</v>
      </c>
      <c r="P17" s="84">
        <f>P12/(P13-P14)</f>
        <v>8.5</v>
      </c>
      <c r="Q17" s="84">
        <f>Q12/(Q13-Q14)</f>
        <v>10</v>
      </c>
      <c r="R17" s="84">
        <f>R12/(R13-R14)</f>
        <v>5</v>
      </c>
      <c r="S17" s="85">
        <f>S12/(S13-S14)</f>
        <v>8.3333333333333339</v>
      </c>
      <c r="U17" s="85">
        <f>U12/(U13-U14)</f>
        <v>6.25</v>
      </c>
      <c r="V17" s="84">
        <f>V12/(V13-V14)</f>
        <v>8</v>
      </c>
      <c r="W17" s="80">
        <f>W12/(W13-W14)</f>
        <v>6</v>
      </c>
      <c r="X17" s="660">
        <v>0</v>
      </c>
      <c r="Y17" s="79">
        <f>Y12/(Y13-Y14)</f>
        <v>5</v>
      </c>
    </row>
    <row r="18" spans="1:25">
      <c r="C18" s="59"/>
      <c r="P18" s="59"/>
    </row>
    <row r="19" spans="1:25">
      <c r="C19" s="59"/>
      <c r="P19" s="59"/>
    </row>
    <row r="20" spans="1:25">
      <c r="C20" s="59"/>
      <c r="P20" s="59"/>
      <c r="U20" s="102"/>
    </row>
    <row r="21" spans="1:25">
      <c r="C21" s="59"/>
      <c r="P21" s="59"/>
    </row>
    <row r="22" spans="1:25">
      <c r="C22" s="59"/>
      <c r="P22" s="59"/>
    </row>
    <row r="23" spans="1:25">
      <c r="C23" s="59"/>
      <c r="P23" s="59"/>
    </row>
    <row r="24" spans="1:25">
      <c r="C24" s="59"/>
      <c r="P24" s="59"/>
    </row>
    <row r="25" spans="1:25">
      <c r="C25" s="59"/>
      <c r="P25" s="59"/>
    </row>
    <row r="26" spans="1:25">
      <c r="C26" s="59"/>
      <c r="P26" s="59"/>
    </row>
    <row r="27" spans="1:25">
      <c r="C27" s="59"/>
      <c r="P27" s="59"/>
    </row>
    <row r="28" spans="1:25">
      <c r="C28" s="59"/>
      <c r="P28" s="59"/>
    </row>
    <row r="29" spans="1:25">
      <c r="C29" s="59"/>
      <c r="P29" s="59"/>
    </row>
  </sheetData>
  <mergeCells count="4">
    <mergeCell ref="O1:R1"/>
    <mergeCell ref="V1:Y1"/>
    <mergeCell ref="B1:E1"/>
    <mergeCell ref="I1:L1"/>
  </mergeCells>
  <conditionalFormatting sqref="S4:S10">
    <cfRule type="cellIs" dxfId="195" priority="7" operator="lessThan">
      <formula>U4</formula>
    </cfRule>
    <cfRule type="cellIs" dxfId="194" priority="8" operator="greaterThanOrEqual">
      <formula>U4</formula>
    </cfRule>
  </conditionalFormatting>
  <conditionalFormatting sqref="U4:U10">
    <cfRule type="cellIs" dxfId="193" priority="5" operator="lessThan">
      <formula>S4</formula>
    </cfRule>
    <cfRule type="cellIs" dxfId="192" priority="6" operator="greaterThanOrEqual">
      <formula>S4</formula>
    </cfRule>
  </conditionalFormatting>
  <conditionalFormatting sqref="F4:F10">
    <cfRule type="cellIs" dxfId="191" priority="3" operator="lessThan">
      <formula>H4</formula>
    </cfRule>
    <cfRule type="cellIs" dxfId="190" priority="4" operator="greaterThanOrEqual">
      <formula>H4</formula>
    </cfRule>
  </conditionalFormatting>
  <conditionalFormatting sqref="H4:H10">
    <cfRule type="cellIs" dxfId="189" priority="1" operator="lessThan">
      <formula>F4</formula>
    </cfRule>
    <cfRule type="cellIs" dxfId="188" priority="2" operator="greaterThanOrEqual">
      <formula>F4</formula>
    </cfRule>
  </conditionalFormatting>
  <pageMargins left="0.70866141732283472" right="0.70866141732283472" top="0.78740157480314965" bottom="0.78740157480314965" header="0.31496062992125984" footer="0.31496062992125984"/>
  <pageSetup paperSize="9" scale="71" orientation="landscape" r:id="rId1"/>
  <ignoredErrors>
    <ignoredError sqref="A12:L1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Y31"/>
  <sheetViews>
    <sheetView zoomScale="90" zoomScaleNormal="90" workbookViewId="0"/>
  </sheetViews>
  <sheetFormatPr baseColWidth="10" defaultRowHeight="14.25"/>
  <cols>
    <col min="1" max="1" width="14.28515625" style="40" bestFit="1" customWidth="1"/>
    <col min="2" max="4" width="7.7109375" style="58" customWidth="1"/>
    <col min="5" max="5" width="7.7109375" style="59" customWidth="1"/>
    <col min="6" max="6" width="4.7109375" style="59" customWidth="1"/>
    <col min="7" max="8" width="4.7109375" style="35" customWidth="1"/>
    <col min="9" max="12" width="7.7109375" style="35" customWidth="1"/>
    <col min="13" max="13" width="11.42578125" style="35"/>
    <col min="14" max="14" width="14.28515625" style="40" bestFit="1" customWidth="1"/>
    <col min="15" max="17" width="7.7109375" style="58" customWidth="1"/>
    <col min="18" max="18" width="7.7109375" style="59" customWidth="1"/>
    <col min="19" max="19" width="5.140625" style="35" bestFit="1" customWidth="1"/>
    <col min="20" max="21" width="4.7109375" style="35" customWidth="1"/>
    <col min="22" max="25" width="7.7109375" style="35" customWidth="1"/>
    <col min="26" max="16384" width="11.42578125" style="35"/>
  </cols>
  <sheetData>
    <row r="1" spans="1:25" ht="15">
      <c r="B1" s="1540" t="s">
        <v>97</v>
      </c>
      <c r="C1" s="1540"/>
      <c r="D1" s="1540"/>
      <c r="E1" s="1540"/>
      <c r="F1" s="41">
        <f>IF(COUNTIF(F4:F12,"&gt;37")=0,0,COUNTIF(F4:F12,"&gt;37")-1)</f>
        <v>2</v>
      </c>
      <c r="H1" s="41">
        <f>IF(COUNTIF(H4:H12,"&gt;37")=0,0,COUNTIF(H4:H12,"&gt;37")-1)</f>
        <v>0</v>
      </c>
      <c r="I1" s="1541" t="s">
        <v>112</v>
      </c>
      <c r="J1" s="1541"/>
      <c r="K1" s="1541"/>
      <c r="L1" s="1541"/>
      <c r="O1" s="1541" t="s">
        <v>112</v>
      </c>
      <c r="P1" s="1541"/>
      <c r="Q1" s="1541"/>
      <c r="R1" s="1541"/>
      <c r="S1" s="41">
        <f>IF(COUNTIF(S4:S10,"&gt;37")=0,0,COUNTIF(S4:S10,"&gt;37")-1)</f>
        <v>0</v>
      </c>
      <c r="U1" s="41">
        <f>IF(COUNTIF(U4:U10,"&gt;37")=0,0,COUNTIF(U4:U10,"&gt;37")-1)</f>
        <v>1</v>
      </c>
      <c r="V1" s="1540" t="s">
        <v>10</v>
      </c>
      <c r="W1" s="1540"/>
      <c r="X1" s="1540"/>
      <c r="Y1" s="1540"/>
    </row>
    <row r="2" spans="1:25" ht="15">
      <c r="B2" s="469">
        <v>1</v>
      </c>
      <c r="C2" s="470">
        <v>2</v>
      </c>
      <c r="D2" s="471">
        <v>3</v>
      </c>
      <c r="E2" s="472">
        <v>4</v>
      </c>
      <c r="F2" s="101"/>
      <c r="G2" s="102"/>
      <c r="I2" s="137">
        <v>1</v>
      </c>
      <c r="J2" s="138">
        <v>2</v>
      </c>
      <c r="K2" s="139">
        <v>3</v>
      </c>
      <c r="L2" s="468">
        <v>4</v>
      </c>
      <c r="O2" s="137">
        <v>1</v>
      </c>
      <c r="P2" s="138">
        <v>2</v>
      </c>
      <c r="Q2" s="139">
        <v>3</v>
      </c>
      <c r="R2" s="468">
        <v>4</v>
      </c>
      <c r="S2" s="102"/>
      <c r="T2" s="102"/>
      <c r="U2" s="102"/>
      <c r="V2" s="469">
        <v>1</v>
      </c>
      <c r="W2" s="470">
        <v>2</v>
      </c>
      <c r="X2" s="471">
        <v>3</v>
      </c>
      <c r="Y2" s="472">
        <v>4</v>
      </c>
    </row>
    <row r="3" spans="1:25" ht="47.25">
      <c r="B3" s="475" t="s">
        <v>1</v>
      </c>
      <c r="C3" s="475" t="s">
        <v>53</v>
      </c>
      <c r="D3" s="475" t="s">
        <v>0</v>
      </c>
      <c r="E3" s="475" t="s">
        <v>56</v>
      </c>
      <c r="F3" s="101"/>
      <c r="G3" s="102"/>
      <c r="I3" s="140" t="s">
        <v>109</v>
      </c>
      <c r="J3" s="140" t="s">
        <v>110</v>
      </c>
      <c r="K3" s="140" t="s">
        <v>111</v>
      </c>
      <c r="L3" s="140" t="s">
        <v>57</v>
      </c>
      <c r="O3" s="140" t="s">
        <v>109</v>
      </c>
      <c r="P3" s="140" t="s">
        <v>110</v>
      </c>
      <c r="Q3" s="140" t="s">
        <v>111</v>
      </c>
      <c r="R3" s="140" t="s">
        <v>57</v>
      </c>
      <c r="S3" s="102"/>
      <c r="T3" s="102"/>
      <c r="U3" s="102"/>
      <c r="V3" s="475" t="s">
        <v>53</v>
      </c>
      <c r="W3" s="475" t="s">
        <v>0</v>
      </c>
      <c r="X3" s="475" t="s">
        <v>56</v>
      </c>
      <c r="Y3" s="475" t="s">
        <v>1</v>
      </c>
    </row>
    <row r="4" spans="1:25">
      <c r="A4" s="51">
        <v>1</v>
      </c>
      <c r="B4" s="52">
        <v>4</v>
      </c>
      <c r="C4" s="53"/>
      <c r="D4" s="53"/>
      <c r="E4" s="89"/>
      <c r="F4" s="54">
        <f>SUM($B$4:E4)</f>
        <v>4</v>
      </c>
      <c r="G4" s="103">
        <f>F4-H4</f>
        <v>2</v>
      </c>
      <c r="H4" s="55">
        <f>SUM($I$4:L4)</f>
        <v>2</v>
      </c>
      <c r="I4" s="52">
        <v>2</v>
      </c>
      <c r="J4" s="53"/>
      <c r="K4" s="53"/>
      <c r="L4" s="89"/>
      <c r="N4" s="51">
        <v>1</v>
      </c>
      <c r="O4" s="52">
        <v>12</v>
      </c>
      <c r="P4" s="53"/>
      <c r="Q4" s="53"/>
      <c r="R4" s="89"/>
      <c r="S4" s="54">
        <f>SUM($O$4:R4)</f>
        <v>12</v>
      </c>
      <c r="T4" s="103">
        <f t="shared" ref="T4:T10" si="0">S4-U4</f>
        <v>10</v>
      </c>
      <c r="U4" s="55">
        <f>SUM($V$4:Y4)</f>
        <v>2</v>
      </c>
      <c r="V4" s="52">
        <v>2</v>
      </c>
      <c r="W4" s="53"/>
      <c r="X4" s="53"/>
      <c r="Y4" s="89"/>
    </row>
    <row r="5" spans="1:25">
      <c r="A5" s="56">
        <v>2</v>
      </c>
      <c r="B5" s="53"/>
      <c r="C5" s="52">
        <v>9</v>
      </c>
      <c r="D5" s="53"/>
      <c r="E5" s="53"/>
      <c r="F5" s="54">
        <f>SUM($B$4:E5)</f>
        <v>13</v>
      </c>
      <c r="G5" s="103">
        <f t="shared" ref="G5:G10" si="1">F5-H5</f>
        <v>8</v>
      </c>
      <c r="H5" s="55">
        <f>SUM($I$4:L5)</f>
        <v>5</v>
      </c>
      <c r="I5" s="53"/>
      <c r="J5" s="52">
        <v>3</v>
      </c>
      <c r="K5" s="53"/>
      <c r="L5" s="53"/>
      <c r="N5" s="56">
        <v>2</v>
      </c>
      <c r="O5" s="53"/>
      <c r="P5" s="52">
        <v>2</v>
      </c>
      <c r="Q5" s="53"/>
      <c r="R5" s="53"/>
      <c r="S5" s="54">
        <f>SUM($O$4:R5)</f>
        <v>14</v>
      </c>
      <c r="T5" s="103">
        <f t="shared" si="0"/>
        <v>1</v>
      </c>
      <c r="U5" s="55">
        <f>SUM($V$4:Y5)</f>
        <v>13</v>
      </c>
      <c r="V5" s="53"/>
      <c r="W5" s="52">
        <v>11</v>
      </c>
      <c r="X5" s="53"/>
      <c r="Y5" s="53"/>
    </row>
    <row r="6" spans="1:25">
      <c r="A6" s="56">
        <v>3</v>
      </c>
      <c r="B6" s="52"/>
      <c r="C6" s="53"/>
      <c r="D6" s="53">
        <v>7</v>
      </c>
      <c r="E6" s="89"/>
      <c r="F6" s="54">
        <f>SUM($B$4:E6)</f>
        <v>20</v>
      </c>
      <c r="G6" s="103">
        <f t="shared" si="1"/>
        <v>10</v>
      </c>
      <c r="H6" s="55">
        <f>SUM($I$4:L6)</f>
        <v>10</v>
      </c>
      <c r="I6" s="52"/>
      <c r="J6" s="53"/>
      <c r="K6" s="53">
        <v>5</v>
      </c>
      <c r="L6" s="89"/>
      <c r="N6" s="56">
        <v>3</v>
      </c>
      <c r="O6" s="52"/>
      <c r="P6" s="53"/>
      <c r="Q6" s="53">
        <v>11</v>
      </c>
      <c r="R6" s="89"/>
      <c r="S6" s="54">
        <f>SUM($O$4:R6)</f>
        <v>25</v>
      </c>
      <c r="T6" s="103">
        <f t="shared" si="0"/>
        <v>1</v>
      </c>
      <c r="U6" s="55">
        <f>SUM($V$4:Y6)</f>
        <v>24</v>
      </c>
      <c r="V6" s="52"/>
      <c r="W6" s="53"/>
      <c r="X6" s="53">
        <v>11</v>
      </c>
      <c r="Y6" s="89"/>
    </row>
    <row r="7" spans="1:25">
      <c r="A7" s="56">
        <v>4</v>
      </c>
      <c r="B7" s="53"/>
      <c r="C7" s="52"/>
      <c r="D7" s="53"/>
      <c r="E7" s="53">
        <v>2</v>
      </c>
      <c r="F7" s="54">
        <f>SUM($B$4:E7)</f>
        <v>22</v>
      </c>
      <c r="G7" s="103">
        <f t="shared" si="1"/>
        <v>12</v>
      </c>
      <c r="H7" s="55">
        <f>SUM($I$4:L7)</f>
        <v>10</v>
      </c>
      <c r="I7" s="53"/>
      <c r="J7" s="52"/>
      <c r="K7" s="53"/>
      <c r="L7" s="53" t="s">
        <v>2</v>
      </c>
      <c r="N7" s="56">
        <v>4</v>
      </c>
      <c r="O7" s="53"/>
      <c r="P7" s="52"/>
      <c r="Q7" s="53"/>
      <c r="R7" s="53" t="s">
        <v>2</v>
      </c>
      <c r="S7" s="54">
        <f>SUM($O$4:R7)</f>
        <v>25</v>
      </c>
      <c r="T7" s="103">
        <f t="shared" si="0"/>
        <v>-10</v>
      </c>
      <c r="U7" s="55">
        <f>SUM($V$4:Y7)</f>
        <v>35</v>
      </c>
      <c r="V7" s="53"/>
      <c r="W7" s="52"/>
      <c r="X7" s="53"/>
      <c r="Y7" s="53">
        <v>11</v>
      </c>
    </row>
    <row r="8" spans="1:25">
      <c r="A8" s="56">
        <v>5</v>
      </c>
      <c r="B8" s="52" t="s">
        <v>2</v>
      </c>
      <c r="C8" s="53"/>
      <c r="D8" s="53"/>
      <c r="E8" s="89"/>
      <c r="F8" s="54">
        <f>SUM($B$4:E8)</f>
        <v>22</v>
      </c>
      <c r="G8" s="103">
        <f t="shared" si="1"/>
        <v>1</v>
      </c>
      <c r="H8" s="55">
        <f>SUM($I$4:L8)</f>
        <v>21</v>
      </c>
      <c r="I8" s="52">
        <v>11</v>
      </c>
      <c r="J8" s="53"/>
      <c r="K8" s="53"/>
      <c r="L8" s="89"/>
      <c r="N8" s="56">
        <v>5</v>
      </c>
      <c r="O8" s="52" t="s">
        <v>2</v>
      </c>
      <c r="P8" s="53"/>
      <c r="Q8" s="53"/>
      <c r="R8" s="89"/>
      <c r="S8" s="54">
        <f>SUM($O$4:R8)</f>
        <v>25</v>
      </c>
      <c r="T8" s="103">
        <f t="shared" si="0"/>
        <v>-10</v>
      </c>
      <c r="U8" s="55">
        <f>SUM($V$4:Y8)</f>
        <v>35</v>
      </c>
      <c r="V8" s="52" t="s">
        <v>2</v>
      </c>
      <c r="W8" s="53"/>
      <c r="X8" s="53"/>
      <c r="Y8" s="89"/>
    </row>
    <row r="9" spans="1:25">
      <c r="A9" s="56">
        <v>6</v>
      </c>
      <c r="B9" s="53"/>
      <c r="C9" s="52">
        <v>7</v>
      </c>
      <c r="D9" s="53"/>
      <c r="E9" s="53"/>
      <c r="F9" s="54">
        <f>SUM($B$4:E9)</f>
        <v>29</v>
      </c>
      <c r="G9" s="103">
        <f t="shared" si="1"/>
        <v>6</v>
      </c>
      <c r="H9" s="55">
        <f>SUM($I$4:L9)</f>
        <v>23</v>
      </c>
      <c r="I9" s="53"/>
      <c r="J9" s="52">
        <v>2</v>
      </c>
      <c r="K9" s="53"/>
      <c r="L9" s="53"/>
      <c r="N9" s="51">
        <v>6</v>
      </c>
      <c r="O9" s="52"/>
      <c r="P9" s="53">
        <v>2</v>
      </c>
      <c r="Q9" s="53"/>
      <c r="R9" s="89"/>
      <c r="S9" s="54">
        <f>SUM($O$4:R9)</f>
        <v>27</v>
      </c>
      <c r="T9" s="103">
        <f t="shared" si="0"/>
        <v>-13</v>
      </c>
      <c r="U9" s="55">
        <f>SUM($V$4:Y9)</f>
        <v>40</v>
      </c>
      <c r="V9" s="52"/>
      <c r="W9" s="53">
        <v>5</v>
      </c>
      <c r="X9" s="53"/>
      <c r="Y9" s="89"/>
    </row>
    <row r="10" spans="1:25">
      <c r="A10" s="56">
        <v>7</v>
      </c>
      <c r="B10" s="52"/>
      <c r="C10" s="53"/>
      <c r="D10" s="53">
        <v>12</v>
      </c>
      <c r="E10" s="89"/>
      <c r="F10" s="54">
        <f>SUM($B$4:E10)</f>
        <v>41</v>
      </c>
      <c r="G10" s="103">
        <f t="shared" si="1"/>
        <v>18</v>
      </c>
      <c r="H10" s="55">
        <f>SUM($I$4:L10)</f>
        <v>23</v>
      </c>
      <c r="I10" s="52"/>
      <c r="J10" s="53"/>
      <c r="K10" s="53" t="s">
        <v>2</v>
      </c>
      <c r="L10" s="89"/>
      <c r="N10" s="56">
        <v>7</v>
      </c>
      <c r="O10" s="53"/>
      <c r="P10" s="52"/>
      <c r="Q10" s="53" t="s">
        <v>2</v>
      </c>
      <c r="R10" s="53"/>
      <c r="S10" s="54">
        <f>SUM($O$4:R10)</f>
        <v>27</v>
      </c>
      <c r="T10" s="103">
        <f t="shared" si="0"/>
        <v>-23</v>
      </c>
      <c r="U10" s="55">
        <f>SUM($V$4:Y10)</f>
        <v>50</v>
      </c>
      <c r="V10" s="53"/>
      <c r="W10" s="52"/>
      <c r="X10" s="53">
        <v>10</v>
      </c>
      <c r="Y10" s="53"/>
    </row>
    <row r="11" spans="1:25">
      <c r="A11" s="51">
        <v>8</v>
      </c>
      <c r="B11" s="52"/>
      <c r="C11" s="53"/>
      <c r="D11" s="53"/>
      <c r="E11" s="89">
        <v>5</v>
      </c>
      <c r="F11" s="54">
        <f>SUM($B$4:E11)</f>
        <v>46</v>
      </c>
      <c r="G11" s="103">
        <f>F11-H11</f>
        <v>20</v>
      </c>
      <c r="H11" s="55">
        <f>SUM($I$4:L11)</f>
        <v>26</v>
      </c>
      <c r="I11" s="52"/>
      <c r="J11" s="53"/>
      <c r="K11" s="53"/>
      <c r="L11" s="89">
        <v>3</v>
      </c>
      <c r="P11" s="59"/>
      <c r="S11" s="59"/>
      <c r="V11" s="58"/>
      <c r="W11" s="59"/>
      <c r="X11" s="58"/>
      <c r="Y11" s="59"/>
    </row>
    <row r="12" spans="1:25">
      <c r="A12" s="56">
        <v>9</v>
      </c>
      <c r="B12" s="53">
        <v>4</v>
      </c>
      <c r="C12" s="52"/>
      <c r="D12" s="53"/>
      <c r="E12" s="53"/>
      <c r="F12" s="54">
        <f>SUM($B$4:E12)</f>
        <v>50</v>
      </c>
      <c r="G12" s="103">
        <f>F12-H12</f>
        <v>24</v>
      </c>
      <c r="H12" s="55">
        <f>SUM($I$4:L12)</f>
        <v>26</v>
      </c>
      <c r="I12" s="53"/>
      <c r="J12" s="52"/>
      <c r="K12" s="53"/>
      <c r="L12" s="53"/>
      <c r="P12" s="59"/>
      <c r="S12" s="59"/>
      <c r="V12" s="58"/>
      <c r="W12" s="59"/>
      <c r="X12" s="58"/>
      <c r="Y12" s="59"/>
    </row>
    <row r="13" spans="1:25">
      <c r="C13" s="59"/>
      <c r="I13" s="58"/>
      <c r="J13" s="59"/>
      <c r="K13" s="58"/>
      <c r="L13" s="59"/>
      <c r="P13" s="59"/>
      <c r="S13" s="59"/>
      <c r="V13" s="58"/>
      <c r="W13" s="59"/>
      <c r="X13" s="58"/>
      <c r="Y13" s="59"/>
    </row>
    <row r="14" spans="1:25" ht="15">
      <c r="A14" s="64" t="s">
        <v>3</v>
      </c>
      <c r="B14" s="52">
        <f>SUM(B4:B13)</f>
        <v>8</v>
      </c>
      <c r="C14" s="52">
        <f>SUM(C4:C13)</f>
        <v>16</v>
      </c>
      <c r="D14" s="52">
        <f>SUM(D4:D13)</f>
        <v>19</v>
      </c>
      <c r="E14" s="65">
        <f>SUM(E4:E13)</f>
        <v>7</v>
      </c>
      <c r="F14" s="66">
        <f>MAX(F4:F10)</f>
        <v>41</v>
      </c>
      <c r="H14" s="66">
        <f>MAX(H4:H10)</f>
        <v>23</v>
      </c>
      <c r="I14" s="52">
        <f>SUM(I4:I13)</f>
        <v>13</v>
      </c>
      <c r="J14" s="52">
        <f>SUM(J4:J13)</f>
        <v>5</v>
      </c>
      <c r="K14" s="52">
        <f>SUM(K4:K13)</f>
        <v>5</v>
      </c>
      <c r="L14" s="52">
        <f>SUM(L4:L13)</f>
        <v>3</v>
      </c>
      <c r="N14" s="64" t="s">
        <v>3</v>
      </c>
      <c r="O14" s="52">
        <f>SUM(O4:O13)</f>
        <v>12</v>
      </c>
      <c r="P14" s="52">
        <f>SUM(P4:P13)</f>
        <v>4</v>
      </c>
      <c r="Q14" s="52">
        <f>SUM(Q4:Q13)</f>
        <v>11</v>
      </c>
      <c r="R14" s="52">
        <f>SUM(R4:R13)</f>
        <v>0</v>
      </c>
      <c r="S14" s="66">
        <f>MAX(S4:S10)</f>
        <v>27</v>
      </c>
      <c r="U14" s="66">
        <f>MAX(U4:U10)</f>
        <v>50</v>
      </c>
      <c r="V14" s="65">
        <f>SUM(V4:V13)</f>
        <v>2</v>
      </c>
      <c r="W14" s="52">
        <f>SUM(W4:W13)</f>
        <v>16</v>
      </c>
      <c r="X14" s="52">
        <f>SUM(X4:X13)</f>
        <v>21</v>
      </c>
      <c r="Y14" s="52">
        <f>SUM(Y4:Y13)</f>
        <v>11</v>
      </c>
    </row>
    <row r="15" spans="1:25" ht="15">
      <c r="A15" s="67" t="s">
        <v>4</v>
      </c>
      <c r="B15" s="53">
        <f>COUNTA(B4:B13)</f>
        <v>3</v>
      </c>
      <c r="C15" s="53">
        <f>COUNTA(C4:C13)</f>
        <v>2</v>
      </c>
      <c r="D15" s="53">
        <f>COUNTA(D4:D13)</f>
        <v>2</v>
      </c>
      <c r="E15" s="53">
        <f>COUNTA(E4:E13)</f>
        <v>2</v>
      </c>
      <c r="F15" s="66">
        <f>SUM(B15:E15)</f>
        <v>9</v>
      </c>
      <c r="H15" s="66">
        <f>SUM(I15:L15)</f>
        <v>8</v>
      </c>
      <c r="I15" s="53">
        <f>COUNTA(I4:I13)</f>
        <v>2</v>
      </c>
      <c r="J15" s="53">
        <f>COUNTA(J4:J13)</f>
        <v>2</v>
      </c>
      <c r="K15" s="53">
        <f>COUNTA(K4:K13)</f>
        <v>2</v>
      </c>
      <c r="L15" s="53">
        <f>COUNTA(L4:L13)</f>
        <v>2</v>
      </c>
      <c r="N15" s="67" t="s">
        <v>4</v>
      </c>
      <c r="O15" s="53">
        <f>COUNTA(O4:O13)</f>
        <v>2</v>
      </c>
      <c r="P15" s="53">
        <f>COUNTA(P4:P13)</f>
        <v>2</v>
      </c>
      <c r="Q15" s="53">
        <f>COUNTA(Q4:Q13)</f>
        <v>2</v>
      </c>
      <c r="R15" s="53">
        <f>COUNTA(R4:R13)</f>
        <v>1</v>
      </c>
      <c r="S15" s="66">
        <f>SUM(O15:R15)</f>
        <v>7</v>
      </c>
      <c r="U15" s="66">
        <f>SUM(V15:Y15)</f>
        <v>7</v>
      </c>
      <c r="V15" s="53">
        <f>COUNTA(V4:V13)</f>
        <v>2</v>
      </c>
      <c r="W15" s="53">
        <f>COUNTA(W4:W13)</f>
        <v>2</v>
      </c>
      <c r="X15" s="53">
        <f>COUNTA(X4:X13)</f>
        <v>2</v>
      </c>
      <c r="Y15" s="53">
        <f>COUNTA(Y4:Y13)</f>
        <v>1</v>
      </c>
    </row>
    <row r="16" spans="1:25" ht="15">
      <c r="A16" s="64" t="s">
        <v>6</v>
      </c>
      <c r="B16" s="52">
        <f>B15-COUNT(B4:B13)</f>
        <v>1</v>
      </c>
      <c r="C16" s="52">
        <f>C15-COUNT(C4:C13)</f>
        <v>0</v>
      </c>
      <c r="D16" s="52">
        <f>D15-COUNT(D4:D13)</f>
        <v>0</v>
      </c>
      <c r="E16" s="65">
        <f>E15-COUNT(E4:E13)</f>
        <v>0</v>
      </c>
      <c r="F16" s="66">
        <f>SUM(B16:E16)</f>
        <v>1</v>
      </c>
      <c r="H16" s="66">
        <f>SUM(I16:L16)</f>
        <v>2</v>
      </c>
      <c r="I16" s="52">
        <f>I15-COUNT(I4:I13)</f>
        <v>0</v>
      </c>
      <c r="J16" s="52">
        <f>J15-COUNT(J4:J13)</f>
        <v>0</v>
      </c>
      <c r="K16" s="52">
        <f>K15-COUNT(K4:K13)</f>
        <v>1</v>
      </c>
      <c r="L16" s="52">
        <f>L15-COUNT(L4:L13)</f>
        <v>1</v>
      </c>
      <c r="N16" s="64" t="s">
        <v>6</v>
      </c>
      <c r="O16" s="52">
        <f>O15-COUNT(O4:O13)</f>
        <v>1</v>
      </c>
      <c r="P16" s="52">
        <f>P15-COUNT(P4:P13)</f>
        <v>0</v>
      </c>
      <c r="Q16" s="52">
        <f>Q15-COUNT(Q4:Q13)</f>
        <v>1</v>
      </c>
      <c r="R16" s="52">
        <f>R15-COUNT(R4:R13)</f>
        <v>1</v>
      </c>
      <c r="S16" s="66">
        <f>SUM(O16:R16)</f>
        <v>3</v>
      </c>
      <c r="U16" s="66">
        <f>SUM(V16:Y16)</f>
        <v>1</v>
      </c>
      <c r="V16" s="65">
        <f>V15-COUNT(V4:V13)</f>
        <v>1</v>
      </c>
      <c r="W16" s="65">
        <f>W15-COUNT(W4:W13)</f>
        <v>0</v>
      </c>
      <c r="X16" s="65">
        <f>X15-COUNT(X4:X13)</f>
        <v>0</v>
      </c>
      <c r="Y16" s="52">
        <f>Y15-COUNT(Y4:Y13)</f>
        <v>0</v>
      </c>
    </row>
    <row r="17" spans="1:25" ht="15">
      <c r="A17" s="64" t="s">
        <v>12</v>
      </c>
      <c r="B17" s="75">
        <f>B16/B15</f>
        <v>0.33333333333333331</v>
      </c>
      <c r="C17" s="72">
        <f>C16/C15</f>
        <v>0</v>
      </c>
      <c r="D17" s="72">
        <f>D16/D15</f>
        <v>0</v>
      </c>
      <c r="E17" s="73">
        <f>E16/E15</f>
        <v>0</v>
      </c>
      <c r="F17" s="74">
        <f>F16/F15</f>
        <v>0.1111111111111111</v>
      </c>
      <c r="H17" s="74">
        <f>H16/H15</f>
        <v>0.25</v>
      </c>
      <c r="I17" s="75">
        <f>I16/I15</f>
        <v>0</v>
      </c>
      <c r="J17" s="72">
        <f>J16/J15</f>
        <v>0</v>
      </c>
      <c r="K17" s="72">
        <f>K16/K15</f>
        <v>0.5</v>
      </c>
      <c r="L17" s="72">
        <f>L16/L15</f>
        <v>0.5</v>
      </c>
      <c r="N17" s="64" t="s">
        <v>12</v>
      </c>
      <c r="O17" s="75">
        <f>O16/O15</f>
        <v>0.5</v>
      </c>
      <c r="P17" s="72">
        <f>P16/P15</f>
        <v>0</v>
      </c>
      <c r="Q17" s="72">
        <f>Q16/Q15</f>
        <v>0.5</v>
      </c>
      <c r="R17" s="72">
        <f>R16/R15</f>
        <v>1</v>
      </c>
      <c r="S17" s="74">
        <f>S16/S15</f>
        <v>0.42857142857142855</v>
      </c>
      <c r="U17" s="74">
        <f>U16/U15</f>
        <v>0.14285714285714285</v>
      </c>
      <c r="V17" s="72">
        <f>V16/V15</f>
        <v>0.5</v>
      </c>
      <c r="W17" s="73">
        <f>W16/W15</f>
        <v>0</v>
      </c>
      <c r="X17" s="73">
        <f>X16/X15</f>
        <v>0</v>
      </c>
      <c r="Y17" s="72">
        <f>Y16/Y15</f>
        <v>0</v>
      </c>
    </row>
    <row r="18" spans="1:25" ht="15">
      <c r="A18" s="64" t="s">
        <v>5</v>
      </c>
      <c r="B18" s="79">
        <f>B14/B15</f>
        <v>2.6666666666666665</v>
      </c>
      <c r="C18" s="79">
        <f>C14/C15</f>
        <v>8</v>
      </c>
      <c r="D18" s="79">
        <f>D14/D15</f>
        <v>9.5</v>
      </c>
      <c r="E18" s="80">
        <f>E14/E15</f>
        <v>3.5</v>
      </c>
      <c r="F18" s="81">
        <f>F14/F15</f>
        <v>4.5555555555555554</v>
      </c>
      <c r="H18" s="81">
        <f>H14/H15</f>
        <v>2.875</v>
      </c>
      <c r="I18" s="79">
        <f>I14/I15</f>
        <v>6.5</v>
      </c>
      <c r="J18" s="79">
        <f>J14/J15</f>
        <v>2.5</v>
      </c>
      <c r="K18" s="79">
        <f>K14/K15</f>
        <v>2.5</v>
      </c>
      <c r="L18" s="79">
        <f>L14/L15</f>
        <v>1.5</v>
      </c>
      <c r="N18" s="64" t="s">
        <v>5</v>
      </c>
      <c r="O18" s="79">
        <f>O14/O15</f>
        <v>6</v>
      </c>
      <c r="P18" s="79">
        <f>P14/P15</f>
        <v>2</v>
      </c>
      <c r="Q18" s="79">
        <f>Q14/Q15</f>
        <v>5.5</v>
      </c>
      <c r="R18" s="79">
        <f>R14/R15</f>
        <v>0</v>
      </c>
      <c r="S18" s="81">
        <f>S14/S15</f>
        <v>3.8571428571428572</v>
      </c>
      <c r="U18" s="81">
        <f>U14/U15</f>
        <v>7.1428571428571432</v>
      </c>
      <c r="V18" s="80">
        <f>V14/V15</f>
        <v>1</v>
      </c>
      <c r="W18" s="79">
        <f>W14/W15</f>
        <v>8</v>
      </c>
      <c r="X18" s="79">
        <f>X14/X15</f>
        <v>10.5</v>
      </c>
      <c r="Y18" s="79">
        <f>Y14/Y15</f>
        <v>11</v>
      </c>
    </row>
    <row r="19" spans="1:25" ht="15">
      <c r="A19" s="64" t="s">
        <v>8</v>
      </c>
      <c r="B19" s="79">
        <f>B14/(B15-B16)</f>
        <v>4</v>
      </c>
      <c r="C19" s="84">
        <f>C14/(C15-C16)</f>
        <v>8</v>
      </c>
      <c r="D19" s="84">
        <f>D14/(D15-D16)</f>
        <v>9.5</v>
      </c>
      <c r="E19" s="84">
        <f>E14/(E15-E16)</f>
        <v>3.5</v>
      </c>
      <c r="F19" s="85">
        <f>F14/(F15-F16)</f>
        <v>5.125</v>
      </c>
      <c r="H19" s="85">
        <f>H14/(H15-H16)</f>
        <v>3.8333333333333335</v>
      </c>
      <c r="I19" s="84">
        <f>I14/(I15-I16)</f>
        <v>6.5</v>
      </c>
      <c r="J19" s="84">
        <f>J14/(J15-J16)</f>
        <v>2.5</v>
      </c>
      <c r="K19" s="84">
        <f>K14/(K15-K16)</f>
        <v>5</v>
      </c>
      <c r="L19" s="84">
        <f>L14/(L15-L16)</f>
        <v>3</v>
      </c>
      <c r="N19" s="64" t="s">
        <v>8</v>
      </c>
      <c r="O19" s="84">
        <f>O14/(O15-O16)</f>
        <v>12</v>
      </c>
      <c r="P19" s="84">
        <f>P14/(P15-P16)</f>
        <v>2</v>
      </c>
      <c r="Q19" s="84">
        <f>Q14/(Q15-Q16)</f>
        <v>11</v>
      </c>
      <c r="R19" s="84">
        <v>0</v>
      </c>
      <c r="S19" s="85">
        <f>S14/(S15-S16)</f>
        <v>6.75</v>
      </c>
      <c r="U19" s="85">
        <f>U14/(U15-U16)</f>
        <v>8.3333333333333339</v>
      </c>
      <c r="V19" s="80">
        <f>V14/(V15-V16)</f>
        <v>2</v>
      </c>
      <c r="W19" s="84">
        <f>W14/(W15-W16)</f>
        <v>8</v>
      </c>
      <c r="X19" s="84">
        <f>X14/(X15-X16)</f>
        <v>10.5</v>
      </c>
      <c r="Y19" s="79">
        <f>Y14/(Y15-Y16)</f>
        <v>11</v>
      </c>
    </row>
    <row r="20" spans="1:25">
      <c r="C20" s="59"/>
      <c r="P20" s="59"/>
    </row>
    <row r="21" spans="1:25">
      <c r="B21" s="35"/>
      <c r="C21" s="35"/>
      <c r="D21" s="35"/>
      <c r="E21" s="35"/>
      <c r="F21" s="35"/>
      <c r="P21" s="59"/>
    </row>
    <row r="22" spans="1:25">
      <c r="B22" s="35"/>
      <c r="C22" s="35"/>
      <c r="D22" s="35"/>
      <c r="E22" s="35"/>
      <c r="F22" s="35"/>
      <c r="P22" s="59"/>
    </row>
    <row r="23" spans="1:25">
      <c r="B23" s="35"/>
      <c r="C23" s="35"/>
      <c r="D23" s="35"/>
      <c r="E23" s="35"/>
      <c r="F23" s="35"/>
      <c r="P23" s="59"/>
    </row>
    <row r="24" spans="1:25">
      <c r="B24" s="35"/>
      <c r="C24" s="35"/>
      <c r="D24" s="35"/>
      <c r="E24" s="35"/>
      <c r="F24" s="35"/>
      <c r="P24" s="59"/>
    </row>
    <row r="25" spans="1:25">
      <c r="B25" s="35"/>
      <c r="C25" s="35"/>
      <c r="D25" s="35"/>
      <c r="E25" s="35"/>
      <c r="F25" s="35"/>
      <c r="P25" s="59"/>
    </row>
    <row r="26" spans="1:25">
      <c r="B26" s="35"/>
      <c r="C26" s="35"/>
      <c r="D26" s="35"/>
      <c r="E26" s="35"/>
      <c r="F26" s="35"/>
      <c r="P26" s="59"/>
    </row>
    <row r="27" spans="1:25">
      <c r="B27" s="35"/>
      <c r="C27" s="35"/>
      <c r="D27" s="35"/>
      <c r="E27" s="35"/>
      <c r="F27" s="35"/>
      <c r="P27" s="59"/>
    </row>
    <row r="28" spans="1:25">
      <c r="B28" s="35"/>
      <c r="C28" s="35"/>
      <c r="D28" s="35"/>
      <c r="E28" s="35"/>
      <c r="F28" s="35"/>
      <c r="P28" s="59"/>
    </row>
    <row r="29" spans="1:25">
      <c r="B29" s="35"/>
      <c r="C29" s="35"/>
      <c r="D29" s="35"/>
      <c r="E29" s="35"/>
      <c r="F29" s="35"/>
      <c r="P29" s="59"/>
    </row>
    <row r="30" spans="1:25">
      <c r="B30" s="35"/>
      <c r="C30" s="35"/>
      <c r="D30" s="35"/>
      <c r="E30" s="35"/>
      <c r="F30" s="35"/>
      <c r="P30" s="59"/>
    </row>
    <row r="31" spans="1:25">
      <c r="B31" s="35"/>
      <c r="C31" s="35"/>
      <c r="D31" s="35"/>
      <c r="E31" s="35"/>
      <c r="F31" s="35"/>
      <c r="P31" s="59"/>
    </row>
  </sheetData>
  <mergeCells count="4">
    <mergeCell ref="O1:R1"/>
    <mergeCell ref="V1:Y1"/>
    <mergeCell ref="B1:E1"/>
    <mergeCell ref="I1:L1"/>
  </mergeCells>
  <conditionalFormatting sqref="F4:F12 S4:S10">
    <cfRule type="cellIs" dxfId="187" priority="7" operator="lessThan">
      <formula>H4</formula>
    </cfRule>
    <cfRule type="cellIs" dxfId="186" priority="8" operator="greaterThanOrEqual">
      <formula>H4</formula>
    </cfRule>
  </conditionalFormatting>
  <conditionalFormatting sqref="H4:H12 U4:U10">
    <cfRule type="cellIs" dxfId="185" priority="5" operator="lessThan">
      <formula>F4</formula>
    </cfRule>
    <cfRule type="cellIs" dxfId="184" priority="6" operator="greaterThanOrEqual">
      <formula>F4</formula>
    </cfRule>
  </conditionalFormatting>
  <pageMargins left="0.70866141732283472" right="0.70866141732283472" top="0.78740157480314965" bottom="0.78740157480314965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29"/>
  <sheetViews>
    <sheetView zoomScale="90" zoomScaleNormal="90" workbookViewId="0"/>
  </sheetViews>
  <sheetFormatPr baseColWidth="10" defaultRowHeight="14.25"/>
  <cols>
    <col min="1" max="1" width="14.28515625" style="40" bestFit="1" customWidth="1"/>
    <col min="2" max="4" width="7.7109375" style="58" customWidth="1"/>
    <col min="5" max="5" width="7.7109375" style="59" customWidth="1"/>
    <col min="6" max="6" width="5.140625" style="35" bestFit="1" customWidth="1"/>
    <col min="7" max="7" width="4.7109375" style="35" customWidth="1"/>
    <col min="8" max="8" width="5.140625" style="35" bestFit="1" customWidth="1"/>
    <col min="9" max="12" width="7.7109375" style="35" customWidth="1"/>
    <col min="13" max="13" width="11.42578125" style="35"/>
    <col min="14" max="14" width="14.28515625" style="40" bestFit="1" customWidth="1"/>
    <col min="15" max="17" width="7.7109375" style="58" customWidth="1"/>
    <col min="18" max="18" width="7.7109375" style="59" customWidth="1"/>
    <col min="19" max="19" width="5.140625" style="59" bestFit="1" customWidth="1"/>
    <col min="20" max="20" width="4.7109375" style="35" customWidth="1"/>
    <col min="21" max="21" width="5.140625" style="35" bestFit="1" customWidth="1"/>
    <col min="22" max="25" width="7.7109375" style="35" customWidth="1"/>
    <col min="26" max="16384" width="11.42578125" style="35"/>
  </cols>
  <sheetData>
    <row r="1" spans="1:25" ht="15">
      <c r="B1" s="1540" t="s">
        <v>130</v>
      </c>
      <c r="C1" s="1540"/>
      <c r="D1" s="1540"/>
      <c r="E1" s="1540"/>
      <c r="F1" s="41">
        <f>IF(COUNTIF(F4:F10,"&gt;37")=0,0,COUNTIF(F4:F10,"&gt;37")-1)</f>
        <v>2</v>
      </c>
      <c r="H1" s="41">
        <f>IF(COUNTIF(H4:H10,"&gt;37")=0,0,COUNTIF(H4:H10,"&gt;37")-1)</f>
        <v>0</v>
      </c>
      <c r="I1" s="1541" t="s">
        <v>97</v>
      </c>
      <c r="J1" s="1541"/>
      <c r="K1" s="1541"/>
      <c r="L1" s="1541"/>
      <c r="O1" s="1540" t="s">
        <v>97</v>
      </c>
      <c r="P1" s="1540"/>
      <c r="Q1" s="1540"/>
      <c r="R1" s="1540"/>
      <c r="S1" s="41">
        <f>IF(COUNTIF(S4:S10,"&gt;37")=0,0,COUNTIF(S4:S10,"&gt;37")-1)</f>
        <v>2</v>
      </c>
      <c r="U1" s="41">
        <f>IF(COUNTIF(U4:U10,"&gt;37")=0,0,COUNTIF(U4:U10,"&gt;37")-1)</f>
        <v>0</v>
      </c>
      <c r="V1" s="1541" t="s">
        <v>130</v>
      </c>
      <c r="W1" s="1541"/>
      <c r="X1" s="1541"/>
      <c r="Y1" s="1541"/>
    </row>
    <row r="2" spans="1:25" ht="15">
      <c r="B2" s="469">
        <v>1</v>
      </c>
      <c r="C2" s="470">
        <v>2</v>
      </c>
      <c r="D2" s="471">
        <v>3</v>
      </c>
      <c r="E2" s="472">
        <v>4</v>
      </c>
      <c r="F2" s="101"/>
      <c r="G2" s="102"/>
      <c r="I2" s="137">
        <v>1</v>
      </c>
      <c r="J2" s="138">
        <v>2</v>
      </c>
      <c r="K2" s="139">
        <v>3</v>
      </c>
      <c r="L2" s="468">
        <v>4</v>
      </c>
      <c r="O2" s="469">
        <v>1</v>
      </c>
      <c r="P2" s="470">
        <v>2</v>
      </c>
      <c r="Q2" s="471">
        <v>3</v>
      </c>
      <c r="R2" s="472">
        <v>4</v>
      </c>
      <c r="S2" s="102"/>
      <c r="T2" s="102"/>
      <c r="U2" s="102"/>
      <c r="V2" s="137">
        <v>1</v>
      </c>
      <c r="W2" s="138">
        <v>2</v>
      </c>
      <c r="X2" s="139">
        <v>3</v>
      </c>
      <c r="Y2" s="468">
        <v>4</v>
      </c>
    </row>
    <row r="3" spans="1:25" ht="57">
      <c r="B3" s="475" t="s">
        <v>99</v>
      </c>
      <c r="C3" s="475" t="s">
        <v>113</v>
      </c>
      <c r="D3" s="475" t="s">
        <v>101</v>
      </c>
      <c r="E3" s="475" t="s">
        <v>102</v>
      </c>
      <c r="F3" s="102"/>
      <c r="G3" s="102"/>
      <c r="H3" s="102"/>
      <c r="I3" s="140" t="s">
        <v>1</v>
      </c>
      <c r="J3" s="140" t="s">
        <v>53</v>
      </c>
      <c r="K3" s="140" t="s">
        <v>0</v>
      </c>
      <c r="L3" s="140" t="s">
        <v>56</v>
      </c>
      <c r="O3" s="475" t="s">
        <v>53</v>
      </c>
      <c r="P3" s="475" t="s">
        <v>0</v>
      </c>
      <c r="Q3" s="475" t="s">
        <v>56</v>
      </c>
      <c r="R3" s="475" t="s">
        <v>1</v>
      </c>
      <c r="S3" s="101"/>
      <c r="T3" s="102"/>
      <c r="V3" s="140" t="s">
        <v>99</v>
      </c>
      <c r="W3" s="140" t="s">
        <v>113</v>
      </c>
      <c r="X3" s="140" t="s">
        <v>101</v>
      </c>
      <c r="Y3" s="140" t="s">
        <v>102</v>
      </c>
    </row>
    <row r="4" spans="1:25">
      <c r="A4" s="51">
        <v>1</v>
      </c>
      <c r="B4" s="52">
        <v>11</v>
      </c>
      <c r="C4" s="53"/>
      <c r="D4" s="53"/>
      <c r="E4" s="89"/>
      <c r="F4" s="54">
        <f>SUM($B$4:E4)</f>
        <v>11</v>
      </c>
      <c r="G4" s="103">
        <f t="shared" ref="G4:G9" si="0">F4-H4</f>
        <v>-1</v>
      </c>
      <c r="H4" s="54">
        <f>SUM($I$4:L4)</f>
        <v>12</v>
      </c>
      <c r="I4" s="99">
        <v>12</v>
      </c>
      <c r="J4" s="53"/>
      <c r="K4" s="53"/>
      <c r="L4" s="89"/>
      <c r="N4" s="51">
        <v>1</v>
      </c>
      <c r="O4" s="52">
        <v>11</v>
      </c>
      <c r="P4" s="53"/>
      <c r="Q4" s="53"/>
      <c r="R4" s="89"/>
      <c r="S4" s="54">
        <f>SUM($O$4:R4)</f>
        <v>11</v>
      </c>
      <c r="T4" s="103">
        <f>S4-U4</f>
        <v>1</v>
      </c>
      <c r="U4" s="55">
        <f>SUM($V$4:Y4)</f>
        <v>10</v>
      </c>
      <c r="V4" s="52">
        <v>10</v>
      </c>
      <c r="W4" s="53"/>
      <c r="X4" s="53"/>
      <c r="Y4" s="89"/>
    </row>
    <row r="5" spans="1:25">
      <c r="A5" s="56">
        <v>2</v>
      </c>
      <c r="B5" s="53"/>
      <c r="C5" s="52">
        <v>8</v>
      </c>
      <c r="D5" s="53"/>
      <c r="E5" s="53"/>
      <c r="F5" s="54">
        <f>SUM($B$4:E5)</f>
        <v>19</v>
      </c>
      <c r="G5" s="103">
        <f t="shared" si="0"/>
        <v>-2</v>
      </c>
      <c r="H5" s="54">
        <f>SUM($I$4:L5)</f>
        <v>21</v>
      </c>
      <c r="I5" s="100"/>
      <c r="J5" s="52">
        <v>9</v>
      </c>
      <c r="K5" s="53"/>
      <c r="L5" s="53"/>
      <c r="N5" s="56">
        <v>2</v>
      </c>
      <c r="O5" s="53"/>
      <c r="P5" s="52" t="s">
        <v>2</v>
      </c>
      <c r="Q5" s="53"/>
      <c r="R5" s="53"/>
      <c r="S5" s="54">
        <f>SUM($O$4:R5)</f>
        <v>11</v>
      </c>
      <c r="T5" s="103">
        <f t="shared" ref="T5:T10" si="1">S5-U5</f>
        <v>-1</v>
      </c>
      <c r="U5" s="55">
        <f>SUM($V$4:Y5)</f>
        <v>12</v>
      </c>
      <c r="V5" s="53"/>
      <c r="W5" s="52">
        <v>2</v>
      </c>
      <c r="X5" s="53"/>
      <c r="Y5" s="53"/>
    </row>
    <row r="6" spans="1:25">
      <c r="A6" s="56">
        <v>3</v>
      </c>
      <c r="B6" s="52"/>
      <c r="C6" s="53"/>
      <c r="D6" s="53">
        <v>9</v>
      </c>
      <c r="E6" s="89"/>
      <c r="F6" s="54">
        <f>SUM($B$4:E6)</f>
        <v>28</v>
      </c>
      <c r="G6" s="103">
        <f t="shared" si="0"/>
        <v>7</v>
      </c>
      <c r="H6" s="54">
        <f>SUM($I$4:L6)</f>
        <v>21</v>
      </c>
      <c r="I6" s="99"/>
      <c r="J6" s="53"/>
      <c r="K6" s="53" t="s">
        <v>2</v>
      </c>
      <c r="L6" s="89"/>
      <c r="N6" s="56">
        <v>3</v>
      </c>
      <c r="O6" s="52"/>
      <c r="P6" s="53"/>
      <c r="Q6" s="53">
        <v>12</v>
      </c>
      <c r="R6" s="89"/>
      <c r="S6" s="54">
        <f>SUM($O$4:R6)</f>
        <v>23</v>
      </c>
      <c r="T6" s="103">
        <f t="shared" si="1"/>
        <v>8</v>
      </c>
      <c r="U6" s="55">
        <f>SUM($V$4:Y6)</f>
        <v>15</v>
      </c>
      <c r="V6" s="52"/>
      <c r="W6" s="53"/>
      <c r="X6" s="53">
        <v>3</v>
      </c>
      <c r="Y6" s="89"/>
    </row>
    <row r="7" spans="1:25">
      <c r="A7" s="56">
        <v>4</v>
      </c>
      <c r="B7" s="53"/>
      <c r="C7" s="52"/>
      <c r="D7" s="53"/>
      <c r="E7" s="53">
        <v>12</v>
      </c>
      <c r="F7" s="54">
        <f>SUM($B$4:E7)</f>
        <v>40</v>
      </c>
      <c r="G7" s="103">
        <f t="shared" si="0"/>
        <v>17</v>
      </c>
      <c r="H7" s="54">
        <f>SUM($I$4:L7)</f>
        <v>23</v>
      </c>
      <c r="I7" s="100"/>
      <c r="J7" s="52"/>
      <c r="K7" s="53"/>
      <c r="L7" s="53">
        <v>2</v>
      </c>
      <c r="N7" s="56">
        <v>4</v>
      </c>
      <c r="O7" s="53"/>
      <c r="P7" s="52"/>
      <c r="Q7" s="53"/>
      <c r="R7" s="53">
        <v>11</v>
      </c>
      <c r="S7" s="54">
        <f>SUM($O$4:R7)</f>
        <v>34</v>
      </c>
      <c r="T7" s="103">
        <f t="shared" si="1"/>
        <v>8</v>
      </c>
      <c r="U7" s="55">
        <f>SUM($V$4:Y7)</f>
        <v>26</v>
      </c>
      <c r="V7" s="53"/>
      <c r="W7" s="52"/>
      <c r="X7" s="53"/>
      <c r="Y7" s="53">
        <v>11</v>
      </c>
    </row>
    <row r="8" spans="1:25">
      <c r="A8" s="56">
        <v>5</v>
      </c>
      <c r="B8" s="52">
        <v>2</v>
      </c>
      <c r="C8" s="53"/>
      <c r="D8" s="53"/>
      <c r="E8" s="89"/>
      <c r="F8" s="54">
        <f>SUM($B$4:E8)</f>
        <v>42</v>
      </c>
      <c r="G8" s="103">
        <f t="shared" si="0"/>
        <v>11</v>
      </c>
      <c r="H8" s="54">
        <f>SUM($I$4:L8)</f>
        <v>31</v>
      </c>
      <c r="I8" s="99">
        <v>8</v>
      </c>
      <c r="J8" s="53"/>
      <c r="K8" s="53"/>
      <c r="L8" s="89"/>
      <c r="N8" s="56">
        <v>5</v>
      </c>
      <c r="O8" s="52">
        <v>5</v>
      </c>
      <c r="P8" s="53"/>
      <c r="Q8" s="53"/>
      <c r="R8" s="89"/>
      <c r="S8" s="54">
        <f>SUM($O$4:R8)</f>
        <v>39</v>
      </c>
      <c r="T8" s="103">
        <f t="shared" si="1"/>
        <v>13</v>
      </c>
      <c r="U8" s="55">
        <f>SUM($V$4:Y8)</f>
        <v>26</v>
      </c>
      <c r="V8" s="52" t="s">
        <v>2</v>
      </c>
      <c r="W8" s="53"/>
      <c r="X8" s="53"/>
      <c r="Y8" s="89"/>
    </row>
    <row r="9" spans="1:25">
      <c r="A9" s="56">
        <v>6</v>
      </c>
      <c r="B9" s="53"/>
      <c r="C9" s="53">
        <v>8</v>
      </c>
      <c r="D9" s="53"/>
      <c r="E9" s="53"/>
      <c r="F9" s="54">
        <f>SUM($B$4:E9)</f>
        <v>50</v>
      </c>
      <c r="G9" s="103">
        <f t="shared" si="0"/>
        <v>19</v>
      </c>
      <c r="H9" s="54">
        <f>SUM($I$4:L9)</f>
        <v>31</v>
      </c>
      <c r="I9" s="100"/>
      <c r="J9" s="52"/>
      <c r="K9" s="53"/>
      <c r="L9" s="53"/>
      <c r="N9" s="56">
        <v>6</v>
      </c>
      <c r="O9" s="53"/>
      <c r="P9" s="52">
        <v>7</v>
      </c>
      <c r="Q9" s="53"/>
      <c r="R9" s="53"/>
      <c r="S9" s="54">
        <f>SUM($O$4:R9)</f>
        <v>46</v>
      </c>
      <c r="T9" s="103">
        <f t="shared" si="1"/>
        <v>16</v>
      </c>
      <c r="U9" s="55">
        <f>SUM($V$4:Y9)</f>
        <v>30</v>
      </c>
      <c r="V9" s="53"/>
      <c r="W9" s="52">
        <v>4</v>
      </c>
      <c r="X9" s="53"/>
      <c r="Y9" s="53"/>
    </row>
    <row r="10" spans="1:25">
      <c r="A10" s="91"/>
      <c r="B10" s="97"/>
      <c r="C10" s="41"/>
      <c r="D10" s="97"/>
      <c r="E10" s="97"/>
      <c r="F10" s="96"/>
      <c r="G10" s="102"/>
      <c r="H10" s="96"/>
      <c r="I10" s="97"/>
      <c r="J10" s="41"/>
      <c r="K10" s="97"/>
      <c r="L10" s="97"/>
      <c r="N10" s="56">
        <v>7</v>
      </c>
      <c r="O10" s="52"/>
      <c r="P10" s="53"/>
      <c r="Q10" s="53">
        <v>4</v>
      </c>
      <c r="R10" s="89"/>
      <c r="S10" s="54">
        <f>SUM($O$4:R10)</f>
        <v>50</v>
      </c>
      <c r="T10" s="103">
        <f t="shared" si="1"/>
        <v>20</v>
      </c>
      <c r="U10" s="55">
        <f>SUM($V$4:Y10)</f>
        <v>30</v>
      </c>
      <c r="V10" s="52"/>
      <c r="W10" s="53"/>
      <c r="X10" s="53"/>
      <c r="Y10" s="89"/>
    </row>
    <row r="11" spans="1:25">
      <c r="C11" s="59"/>
      <c r="F11" s="59"/>
      <c r="I11" s="58"/>
      <c r="J11" s="59"/>
      <c r="K11" s="58"/>
      <c r="L11" s="59"/>
      <c r="P11" s="59"/>
      <c r="V11" s="58"/>
      <c r="W11" s="59"/>
      <c r="X11" s="58"/>
      <c r="Y11" s="59"/>
    </row>
    <row r="12" spans="1:25" ht="15">
      <c r="A12" s="64" t="s">
        <v>3</v>
      </c>
      <c r="B12" s="52">
        <f>SUM(B4:B11)</f>
        <v>13</v>
      </c>
      <c r="C12" s="52">
        <f>SUM(C4:C11)</f>
        <v>16</v>
      </c>
      <c r="D12" s="65">
        <f>SUM(D4:D11)</f>
        <v>9</v>
      </c>
      <c r="E12" s="52">
        <f>SUM(E4:E11)</f>
        <v>12</v>
      </c>
      <c r="F12" s="66">
        <f>MAX(F4:F10)</f>
        <v>50</v>
      </c>
      <c r="H12" s="66">
        <f>MAX(H4:H10)</f>
        <v>31</v>
      </c>
      <c r="I12" s="52">
        <f>SUM(I4:I11)</f>
        <v>20</v>
      </c>
      <c r="J12" s="52">
        <f>SUM(J4:J11)</f>
        <v>9</v>
      </c>
      <c r="K12" s="52">
        <f>SUM(K4:K11)</f>
        <v>0</v>
      </c>
      <c r="L12" s="52">
        <f>SUM(L4:L11)</f>
        <v>2</v>
      </c>
      <c r="N12" s="64" t="s">
        <v>3</v>
      </c>
      <c r="O12" s="52">
        <f>SUM(O4:O11)</f>
        <v>16</v>
      </c>
      <c r="P12" s="52">
        <f>SUM(P4:P11)</f>
        <v>7</v>
      </c>
      <c r="Q12" s="52">
        <f>SUM(Q4:Q11)</f>
        <v>16</v>
      </c>
      <c r="R12" s="52">
        <f>SUM(R4:R11)</f>
        <v>11</v>
      </c>
      <c r="S12" s="66">
        <f>MAX(S4:S10)</f>
        <v>50</v>
      </c>
      <c r="U12" s="66">
        <f>MAX(U4:U10)</f>
        <v>30</v>
      </c>
      <c r="V12" s="52">
        <f>SUM(V4:V11)</f>
        <v>10</v>
      </c>
      <c r="W12" s="52">
        <f>SUM(W4:W11)</f>
        <v>6</v>
      </c>
      <c r="X12" s="65">
        <f>SUM(X4:X11)</f>
        <v>3</v>
      </c>
      <c r="Y12" s="52">
        <f>SUM(Y4:Y11)</f>
        <v>11</v>
      </c>
    </row>
    <row r="13" spans="1:25" ht="15">
      <c r="A13" s="67" t="s">
        <v>4</v>
      </c>
      <c r="B13" s="53">
        <f>COUNTA(B4:B11)</f>
        <v>2</v>
      </c>
      <c r="C13" s="53">
        <f>COUNTA(C4:C11)</f>
        <v>2</v>
      </c>
      <c r="D13" s="53">
        <f>COUNTA(D4:D11)</f>
        <v>1</v>
      </c>
      <c r="E13" s="53">
        <f>COUNTA(E4:E11)</f>
        <v>1</v>
      </c>
      <c r="F13" s="66">
        <f>SUM(B13:E13)</f>
        <v>6</v>
      </c>
      <c r="H13" s="66">
        <f>SUM(I13:L13)</f>
        <v>5</v>
      </c>
      <c r="I13" s="53">
        <f>COUNTA(I4:I11)</f>
        <v>2</v>
      </c>
      <c r="J13" s="53">
        <f>COUNTA(J4:J11)</f>
        <v>1</v>
      </c>
      <c r="K13" s="53">
        <f>COUNTA(K4:K11)</f>
        <v>1</v>
      </c>
      <c r="L13" s="53">
        <f>COUNTA(L4:L11)</f>
        <v>1</v>
      </c>
      <c r="N13" s="67" t="s">
        <v>4</v>
      </c>
      <c r="O13" s="53">
        <f>COUNTA(O4:O11)</f>
        <v>2</v>
      </c>
      <c r="P13" s="53">
        <f>COUNTA(P4:P11)</f>
        <v>2</v>
      </c>
      <c r="Q13" s="53">
        <f>COUNTA(Q4:Q11)</f>
        <v>2</v>
      </c>
      <c r="R13" s="53">
        <f>COUNTA(R4:R11)</f>
        <v>1</v>
      </c>
      <c r="S13" s="66">
        <f>SUM(O13:R13)</f>
        <v>7</v>
      </c>
      <c r="U13" s="66">
        <f>SUM(V13:Y13)</f>
        <v>6</v>
      </c>
      <c r="V13" s="53">
        <f>COUNTA(V4:V11)</f>
        <v>2</v>
      </c>
      <c r="W13" s="53">
        <f>COUNTA(W4:W11)</f>
        <v>2</v>
      </c>
      <c r="X13" s="53">
        <f>COUNTA(X4:X11)</f>
        <v>1</v>
      </c>
      <c r="Y13" s="53">
        <f>COUNTA(Y4:Y11)</f>
        <v>1</v>
      </c>
    </row>
    <row r="14" spans="1:25" ht="15">
      <c r="A14" s="64" t="s">
        <v>6</v>
      </c>
      <c r="B14" s="52">
        <f>B13-COUNT(B4:B11)</f>
        <v>0</v>
      </c>
      <c r="C14" s="52">
        <f>C13-COUNT(C4:C11)</f>
        <v>0</v>
      </c>
      <c r="D14" s="52">
        <f>D13-COUNT(D4:D11)</f>
        <v>0</v>
      </c>
      <c r="E14" s="52">
        <f>E13-COUNT(E4:E11)</f>
        <v>0</v>
      </c>
      <c r="F14" s="66">
        <f>SUM(B14:E14)</f>
        <v>0</v>
      </c>
      <c r="H14" s="66">
        <f>SUM(I14:L14)</f>
        <v>1</v>
      </c>
      <c r="I14" s="52">
        <f>I13-COUNT(I4:I11)</f>
        <v>0</v>
      </c>
      <c r="J14" s="52">
        <f>J13-COUNT(J4:J11)</f>
        <v>0</v>
      </c>
      <c r="K14" s="52">
        <f>K13-COUNT(K4:K11)</f>
        <v>1</v>
      </c>
      <c r="L14" s="52">
        <f>L13-COUNT(L4:L11)</f>
        <v>0</v>
      </c>
      <c r="N14" s="64" t="s">
        <v>6</v>
      </c>
      <c r="O14" s="52">
        <f>O13-COUNT(O4:O11)</f>
        <v>0</v>
      </c>
      <c r="P14" s="52">
        <f>P13-COUNT(P4:P11)</f>
        <v>1</v>
      </c>
      <c r="Q14" s="52">
        <f>Q13-COUNT(Q4:Q11)</f>
        <v>0</v>
      </c>
      <c r="R14" s="52">
        <f>R13-COUNT(R4:R11)</f>
        <v>0</v>
      </c>
      <c r="S14" s="66">
        <f>SUM(O14:R14)</f>
        <v>1</v>
      </c>
      <c r="U14" s="66">
        <f>SUM(V14:Y14)</f>
        <v>1</v>
      </c>
      <c r="V14" s="52">
        <f>V13-COUNT(V4:V11)</f>
        <v>1</v>
      </c>
      <c r="W14" s="52">
        <f>W13-COUNT(W4:W11)</f>
        <v>0</v>
      </c>
      <c r="X14" s="65">
        <f>X13-COUNT(X4:X11)</f>
        <v>0</v>
      </c>
      <c r="Y14" s="52">
        <f>Y13-COUNT(Y4:Y11)</f>
        <v>0</v>
      </c>
    </row>
    <row r="15" spans="1:25" ht="15">
      <c r="A15" s="64" t="s">
        <v>12</v>
      </c>
      <c r="B15" s="72">
        <f>B14/B13</f>
        <v>0</v>
      </c>
      <c r="C15" s="72">
        <f>C14/C13</f>
        <v>0</v>
      </c>
      <c r="D15" s="72">
        <f>D14/D13</f>
        <v>0</v>
      </c>
      <c r="E15" s="72">
        <f>E14/E13</f>
        <v>0</v>
      </c>
      <c r="F15" s="74">
        <f>F14/F13</f>
        <v>0</v>
      </c>
      <c r="H15" s="74">
        <f>H14/H13</f>
        <v>0.2</v>
      </c>
      <c r="I15" s="72">
        <f>I14/I13</f>
        <v>0</v>
      </c>
      <c r="J15" s="72">
        <f>J14/J13</f>
        <v>0</v>
      </c>
      <c r="K15" s="72">
        <f>K14/K13</f>
        <v>1</v>
      </c>
      <c r="L15" s="72">
        <f>L14/L13</f>
        <v>0</v>
      </c>
      <c r="N15" s="64" t="s">
        <v>12</v>
      </c>
      <c r="O15" s="75">
        <f>O14/O13</f>
        <v>0</v>
      </c>
      <c r="P15" s="72">
        <f>P14/P13</f>
        <v>0.5</v>
      </c>
      <c r="Q15" s="72">
        <f>Q14/Q13</f>
        <v>0</v>
      </c>
      <c r="R15" s="72">
        <f>R14/R13</f>
        <v>0</v>
      </c>
      <c r="S15" s="74">
        <f>S14/S13</f>
        <v>0.14285714285714285</v>
      </c>
      <c r="U15" s="74">
        <f>U14/U13</f>
        <v>0.16666666666666666</v>
      </c>
      <c r="V15" s="72">
        <f>V14/V13</f>
        <v>0.5</v>
      </c>
      <c r="W15" s="72">
        <f>W14/W13</f>
        <v>0</v>
      </c>
      <c r="X15" s="73">
        <f>X14/X13</f>
        <v>0</v>
      </c>
      <c r="Y15" s="72">
        <f>Y14/Y13</f>
        <v>0</v>
      </c>
    </row>
    <row r="16" spans="1:25" ht="15">
      <c r="A16" s="64" t="s">
        <v>5</v>
      </c>
      <c r="B16" s="79">
        <f>B12/B13</f>
        <v>6.5</v>
      </c>
      <c r="C16" s="80">
        <f>C12/C13</f>
        <v>8</v>
      </c>
      <c r="D16" s="79">
        <f>D12/D13</f>
        <v>9</v>
      </c>
      <c r="E16" s="79">
        <f>E12/E13</f>
        <v>12</v>
      </c>
      <c r="F16" s="81">
        <f>F12/F13</f>
        <v>8.3333333333333339</v>
      </c>
      <c r="H16" s="81">
        <f>H12/H13</f>
        <v>6.2</v>
      </c>
      <c r="I16" s="79">
        <f>I12/I13</f>
        <v>10</v>
      </c>
      <c r="J16" s="79">
        <f>J12/J13</f>
        <v>9</v>
      </c>
      <c r="K16" s="79">
        <f>K12/K13</f>
        <v>0</v>
      </c>
      <c r="L16" s="79">
        <f>L12/L13</f>
        <v>2</v>
      </c>
      <c r="N16" s="64" t="s">
        <v>5</v>
      </c>
      <c r="O16" s="79">
        <f>O12/O13</f>
        <v>8</v>
      </c>
      <c r="P16" s="79">
        <f>P12/P13</f>
        <v>3.5</v>
      </c>
      <c r="Q16" s="79">
        <f>Q12/Q13</f>
        <v>8</v>
      </c>
      <c r="R16" s="79">
        <f>R12/R13</f>
        <v>11</v>
      </c>
      <c r="S16" s="81">
        <f>S12/S13</f>
        <v>7.1428571428571432</v>
      </c>
      <c r="U16" s="81">
        <f>U12/U13</f>
        <v>5</v>
      </c>
      <c r="V16" s="79">
        <f>V12/V13</f>
        <v>5</v>
      </c>
      <c r="W16" s="79">
        <f>W12/W13</f>
        <v>3</v>
      </c>
      <c r="X16" s="80">
        <f>X12/X13</f>
        <v>3</v>
      </c>
      <c r="Y16" s="79">
        <f>Y12/Y13</f>
        <v>11</v>
      </c>
    </row>
    <row r="17" spans="1:25" ht="15">
      <c r="A17" s="64" t="s">
        <v>8</v>
      </c>
      <c r="B17" s="79">
        <f>B12/(B13-B14)</f>
        <v>6.5</v>
      </c>
      <c r="C17" s="80">
        <f>C12/(C13-C14)</f>
        <v>8</v>
      </c>
      <c r="D17" s="84">
        <f>D12/(D13-D14)</f>
        <v>9</v>
      </c>
      <c r="E17" s="84">
        <f>E12/(E13-E14)</f>
        <v>12</v>
      </c>
      <c r="F17" s="85">
        <f>F12/(F13-F14)</f>
        <v>8.3333333333333339</v>
      </c>
      <c r="H17" s="85">
        <f>H12/(H13-H14)</f>
        <v>7.75</v>
      </c>
      <c r="I17" s="84">
        <f>I12/(I13-I14)</f>
        <v>10</v>
      </c>
      <c r="J17" s="84">
        <f>J12/(J13-J14)</f>
        <v>9</v>
      </c>
      <c r="K17" s="660">
        <v>0</v>
      </c>
      <c r="L17" s="84">
        <f>L12/(L13-L14)</f>
        <v>2</v>
      </c>
      <c r="N17" s="64" t="s">
        <v>8</v>
      </c>
      <c r="O17" s="84">
        <f>O12/(O13-O14)</f>
        <v>8</v>
      </c>
      <c r="P17" s="84">
        <f>P12/(P13-P14)</f>
        <v>7</v>
      </c>
      <c r="Q17" s="84">
        <f>Q12/(Q13-Q14)</f>
        <v>8</v>
      </c>
      <c r="R17" s="84">
        <f>R12/(R13-R14)</f>
        <v>11</v>
      </c>
      <c r="S17" s="85">
        <f>S12/(S13-S14)</f>
        <v>8.3333333333333339</v>
      </c>
      <c r="U17" s="85">
        <f>U12/(U13-U14)</f>
        <v>6</v>
      </c>
      <c r="V17" s="84">
        <f>V12/(V13-V14)</f>
        <v>10</v>
      </c>
      <c r="W17" s="80">
        <f>W12/(W13-W14)</f>
        <v>3</v>
      </c>
      <c r="X17" s="84">
        <f>X12/(X13-X14)</f>
        <v>3</v>
      </c>
      <c r="Y17" s="79">
        <f>Y12/(Y13-Y14)</f>
        <v>11</v>
      </c>
    </row>
    <row r="18" spans="1:25">
      <c r="C18" s="59"/>
      <c r="P18" s="59"/>
    </row>
    <row r="19" spans="1:25">
      <c r="C19" s="59"/>
      <c r="P19" s="59"/>
    </row>
    <row r="20" spans="1:25">
      <c r="C20" s="59"/>
      <c r="P20" s="59"/>
      <c r="U20" s="102"/>
    </row>
    <row r="21" spans="1:25">
      <c r="C21" s="59"/>
      <c r="P21" s="59"/>
    </row>
    <row r="22" spans="1:25">
      <c r="C22" s="59"/>
      <c r="P22" s="59"/>
    </row>
    <row r="23" spans="1:25">
      <c r="C23" s="59"/>
      <c r="P23" s="59"/>
    </row>
    <row r="24" spans="1:25">
      <c r="C24" s="59"/>
      <c r="P24" s="59"/>
    </row>
    <row r="25" spans="1:25">
      <c r="C25" s="59"/>
      <c r="P25" s="59"/>
    </row>
    <row r="26" spans="1:25">
      <c r="C26" s="59"/>
      <c r="P26" s="59"/>
    </row>
    <row r="27" spans="1:25">
      <c r="C27" s="59"/>
      <c r="P27" s="59"/>
    </row>
    <row r="28" spans="1:25">
      <c r="C28" s="59"/>
      <c r="P28" s="59"/>
    </row>
    <row r="29" spans="1:25">
      <c r="C29" s="59"/>
      <c r="P29" s="59"/>
    </row>
  </sheetData>
  <mergeCells count="4">
    <mergeCell ref="B1:E1"/>
    <mergeCell ref="I1:L1"/>
    <mergeCell ref="O1:R1"/>
    <mergeCell ref="V1:Y1"/>
  </mergeCells>
  <conditionalFormatting sqref="S4:S10">
    <cfRule type="cellIs" dxfId="183" priority="7" operator="lessThan">
      <formula>U4</formula>
    </cfRule>
    <cfRule type="cellIs" dxfId="182" priority="8" operator="greaterThanOrEqual">
      <formula>U4</formula>
    </cfRule>
  </conditionalFormatting>
  <conditionalFormatting sqref="U4:U10">
    <cfRule type="cellIs" dxfId="181" priority="5" operator="lessThan">
      <formula>S4</formula>
    </cfRule>
    <cfRule type="cellIs" dxfId="180" priority="6" operator="greaterThanOrEqual">
      <formula>S4</formula>
    </cfRule>
  </conditionalFormatting>
  <conditionalFormatting sqref="F4:F9">
    <cfRule type="cellIs" dxfId="179" priority="3" operator="lessThan">
      <formula>H4</formula>
    </cfRule>
    <cfRule type="cellIs" dxfId="178" priority="4" operator="greaterThanOrEqual">
      <formula>H4</formula>
    </cfRule>
  </conditionalFormatting>
  <conditionalFormatting sqref="H4:H9">
    <cfRule type="cellIs" dxfId="177" priority="1" operator="lessThan">
      <formula>F4</formula>
    </cfRule>
    <cfRule type="cellIs" dxfId="176" priority="2" operator="greaterThanOrEqual">
      <formula>F4</formula>
    </cfRule>
  </conditionalFormatting>
  <pageMargins left="0.70866141732283472" right="0.70866141732283472" top="0.78740157480314965" bottom="0.78740157480314965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Z36"/>
  <sheetViews>
    <sheetView zoomScale="90" zoomScaleNormal="90" workbookViewId="0"/>
  </sheetViews>
  <sheetFormatPr baseColWidth="10" defaultRowHeight="14.25"/>
  <cols>
    <col min="1" max="1" width="14.28515625" style="40" bestFit="1" customWidth="1"/>
    <col min="2" max="4" width="7.7109375" style="58" customWidth="1"/>
    <col min="5" max="5" width="7.7109375" style="59" customWidth="1"/>
    <col min="6" max="6" width="5.140625" style="59" bestFit="1" customWidth="1"/>
    <col min="7" max="7" width="4.7109375" style="35" customWidth="1"/>
    <col min="8" max="8" width="5.140625" style="35" bestFit="1" customWidth="1"/>
    <col min="9" max="12" width="7.7109375" style="35" customWidth="1"/>
    <col min="13" max="13" width="11.42578125" style="35"/>
    <col min="14" max="14" width="14.28515625" style="40" bestFit="1" customWidth="1"/>
    <col min="15" max="17" width="7.7109375" style="58" customWidth="1"/>
    <col min="18" max="18" width="7.7109375" style="59" customWidth="1"/>
    <col min="19" max="19" width="5.140625" style="35" bestFit="1" customWidth="1"/>
    <col min="20" max="20" width="4.7109375" style="35" customWidth="1"/>
    <col min="21" max="21" width="5.140625" style="35" bestFit="1" customWidth="1"/>
    <col min="22" max="25" width="7.7109375" style="35" customWidth="1"/>
    <col min="26" max="16384" width="11.42578125" style="35"/>
  </cols>
  <sheetData>
    <row r="1" spans="1:26" ht="15">
      <c r="B1" s="1541" t="s">
        <v>97</v>
      </c>
      <c r="C1" s="1541"/>
      <c r="D1" s="1541"/>
      <c r="E1" s="1541"/>
      <c r="F1" s="41">
        <f>IF(COUNTIF(F4:F18,"&gt;37")=0,0,COUNTIF(F4:F18,"&gt;37")-1)</f>
        <v>1</v>
      </c>
      <c r="H1" s="41">
        <f>IF(COUNTIF(H4:H18,"&gt;37")=0,0,COUNTIF(H4:H18,"&gt;37")-1)</f>
        <v>5</v>
      </c>
      <c r="I1" s="1540" t="s">
        <v>114</v>
      </c>
      <c r="J1" s="1540"/>
      <c r="K1" s="1540"/>
      <c r="L1" s="1540"/>
      <c r="O1" s="1541" t="s">
        <v>114</v>
      </c>
      <c r="P1" s="1541"/>
      <c r="Q1" s="1541"/>
      <c r="R1" s="1541"/>
      <c r="S1" s="41">
        <f>IF(COUNTIF(S4:S18,"&gt;37")=0,0,COUNTIF(S4:S18,"&gt;37")-1)</f>
        <v>0</v>
      </c>
      <c r="U1" s="41">
        <f>IF(COUNTIF(U4:U18,"&gt;37")=0,0,COUNTIF(U4:U18,"&gt;37")-1)</f>
        <v>2</v>
      </c>
      <c r="V1" s="1540" t="s">
        <v>97</v>
      </c>
      <c r="W1" s="1540"/>
      <c r="X1" s="1540"/>
      <c r="Y1" s="1540"/>
    </row>
    <row r="2" spans="1:26" ht="15">
      <c r="B2" s="137">
        <v>1</v>
      </c>
      <c r="C2" s="138">
        <v>2</v>
      </c>
      <c r="D2" s="139">
        <v>3</v>
      </c>
      <c r="E2" s="468">
        <v>4</v>
      </c>
      <c r="F2" s="101"/>
      <c r="G2" s="102"/>
      <c r="I2" s="469">
        <v>1</v>
      </c>
      <c r="J2" s="470">
        <v>2</v>
      </c>
      <c r="K2" s="471">
        <v>3</v>
      </c>
      <c r="L2" s="472">
        <v>4</v>
      </c>
      <c r="O2" s="137">
        <v>1</v>
      </c>
      <c r="P2" s="138">
        <v>2</v>
      </c>
      <c r="Q2" s="139">
        <v>3</v>
      </c>
      <c r="R2" s="468">
        <v>4</v>
      </c>
      <c r="S2" s="102"/>
      <c r="T2" s="102"/>
      <c r="U2" s="102"/>
      <c r="V2" s="469">
        <v>1</v>
      </c>
      <c r="W2" s="470">
        <v>2</v>
      </c>
      <c r="X2" s="471">
        <v>3</v>
      </c>
      <c r="Y2" s="472">
        <v>4</v>
      </c>
    </row>
    <row r="3" spans="1:26" ht="48.75">
      <c r="B3" s="140" t="s">
        <v>53</v>
      </c>
      <c r="C3" s="140" t="s">
        <v>0</v>
      </c>
      <c r="D3" s="140" t="s">
        <v>56</v>
      </c>
      <c r="E3" s="140" t="s">
        <v>1</v>
      </c>
      <c r="F3" s="101"/>
      <c r="G3" s="102"/>
      <c r="I3" s="475" t="s">
        <v>54</v>
      </c>
      <c r="J3" s="475" t="s">
        <v>57</v>
      </c>
      <c r="K3" s="475" t="s">
        <v>115</v>
      </c>
      <c r="L3" s="475" t="s">
        <v>116</v>
      </c>
      <c r="M3" s="102"/>
      <c r="N3" s="91"/>
      <c r="O3" s="140" t="s">
        <v>54</v>
      </c>
      <c r="P3" s="140" t="s">
        <v>57</v>
      </c>
      <c r="Q3" s="140" t="s">
        <v>115</v>
      </c>
      <c r="R3" s="140" t="s">
        <v>116</v>
      </c>
      <c r="S3" s="102"/>
      <c r="T3" s="102"/>
      <c r="U3" s="102"/>
      <c r="V3" s="475" t="s">
        <v>1</v>
      </c>
      <c r="W3" s="475" t="s">
        <v>53</v>
      </c>
      <c r="X3" s="475" t="s">
        <v>0</v>
      </c>
      <c r="Y3" s="475" t="s">
        <v>56</v>
      </c>
      <c r="Z3" s="102"/>
    </row>
    <row r="4" spans="1:26">
      <c r="A4" s="51">
        <v>1</v>
      </c>
      <c r="B4" s="52">
        <v>8</v>
      </c>
      <c r="C4" s="53"/>
      <c r="D4" s="53"/>
      <c r="E4" s="89"/>
      <c r="F4" s="54">
        <f>SUM($B$4:E4)</f>
        <v>8</v>
      </c>
      <c r="G4" s="103">
        <f>F4-H4</f>
        <v>-1</v>
      </c>
      <c r="H4" s="55">
        <f>SUM($I$4:L4)</f>
        <v>9</v>
      </c>
      <c r="I4" s="52">
        <v>9</v>
      </c>
      <c r="J4" s="53"/>
      <c r="K4" s="53"/>
      <c r="L4" s="89"/>
      <c r="N4" s="51">
        <v>1</v>
      </c>
      <c r="O4" s="52">
        <v>9</v>
      </c>
      <c r="P4" s="53"/>
      <c r="Q4" s="53"/>
      <c r="R4" s="89"/>
      <c r="S4" s="54">
        <f>SUM($O$4:R4)</f>
        <v>9</v>
      </c>
      <c r="T4" s="103">
        <f>S4-U4</f>
        <v>2</v>
      </c>
      <c r="U4" s="55">
        <f>SUM($V$4:Y4)</f>
        <v>7</v>
      </c>
      <c r="V4" s="52">
        <v>7</v>
      </c>
      <c r="W4" s="53"/>
      <c r="X4" s="53"/>
      <c r="Y4" s="477"/>
    </row>
    <row r="5" spans="1:26">
      <c r="A5" s="56">
        <v>2</v>
      </c>
      <c r="B5" s="53"/>
      <c r="C5" s="52">
        <v>2</v>
      </c>
      <c r="D5" s="53"/>
      <c r="E5" s="53"/>
      <c r="F5" s="54">
        <f>SUM($B$4:E5)</f>
        <v>10</v>
      </c>
      <c r="G5" s="103">
        <f t="shared" ref="G5:G13" si="0">F5-H5</f>
        <v>-7</v>
      </c>
      <c r="H5" s="55">
        <f>SUM($I$4:L5)</f>
        <v>17</v>
      </c>
      <c r="I5" s="53"/>
      <c r="J5" s="52">
        <v>8</v>
      </c>
      <c r="K5" s="53"/>
      <c r="L5" s="53"/>
      <c r="N5" s="56">
        <v>2</v>
      </c>
      <c r="O5" s="53"/>
      <c r="P5" s="52">
        <v>6</v>
      </c>
      <c r="Q5" s="53"/>
      <c r="R5" s="53"/>
      <c r="S5" s="54">
        <f>SUM($O$4:R5)</f>
        <v>15</v>
      </c>
      <c r="T5" s="103">
        <f t="shared" ref="T5:T12" si="1">S5-U5</f>
        <v>2</v>
      </c>
      <c r="U5" s="55">
        <f>SUM($V$4:Y5)</f>
        <v>13</v>
      </c>
      <c r="V5" s="53"/>
      <c r="W5" s="52">
        <v>6</v>
      </c>
      <c r="X5" s="53"/>
      <c r="Y5" s="53"/>
    </row>
    <row r="6" spans="1:26">
      <c r="A6" s="56">
        <v>3</v>
      </c>
      <c r="B6" s="52"/>
      <c r="C6" s="53"/>
      <c r="D6" s="53" t="s">
        <v>2</v>
      </c>
      <c r="E6" s="89"/>
      <c r="F6" s="54">
        <f>SUM($B$4:E6)</f>
        <v>10</v>
      </c>
      <c r="G6" s="103">
        <f t="shared" si="0"/>
        <v>-9</v>
      </c>
      <c r="H6" s="55">
        <f>SUM($I$4:L6)</f>
        <v>19</v>
      </c>
      <c r="I6" s="52"/>
      <c r="J6" s="53"/>
      <c r="K6" s="53">
        <v>2</v>
      </c>
      <c r="L6" s="89"/>
      <c r="N6" s="56">
        <v>3</v>
      </c>
      <c r="O6" s="52"/>
      <c r="P6" s="53"/>
      <c r="Q6" s="53">
        <v>5</v>
      </c>
      <c r="R6" s="89"/>
      <c r="S6" s="54">
        <f>SUM($O$4:R6)</f>
        <v>20</v>
      </c>
      <c r="T6" s="103">
        <f t="shared" si="1"/>
        <v>-2</v>
      </c>
      <c r="U6" s="55">
        <f>SUM($V$4:Y6)</f>
        <v>22</v>
      </c>
      <c r="V6" s="52"/>
      <c r="W6" s="53"/>
      <c r="X6" s="53">
        <v>9</v>
      </c>
      <c r="Y6" s="89"/>
    </row>
    <row r="7" spans="1:26">
      <c r="A7" s="56">
        <v>4</v>
      </c>
      <c r="B7" s="53"/>
      <c r="C7" s="52"/>
      <c r="D7" s="53"/>
      <c r="E7" s="53" t="s">
        <v>2</v>
      </c>
      <c r="F7" s="54">
        <f>SUM($B$4:E7)</f>
        <v>10</v>
      </c>
      <c r="G7" s="103">
        <f t="shared" si="0"/>
        <v>-9</v>
      </c>
      <c r="H7" s="55">
        <f>SUM($I$4:L7)</f>
        <v>19</v>
      </c>
      <c r="I7" s="53"/>
      <c r="J7" s="52"/>
      <c r="K7" s="53"/>
      <c r="L7" s="53" t="s">
        <v>2</v>
      </c>
      <c r="N7" s="56">
        <v>4</v>
      </c>
      <c r="O7" s="53"/>
      <c r="P7" s="52"/>
      <c r="Q7" s="53"/>
      <c r="R7" s="53" t="s">
        <v>2</v>
      </c>
      <c r="S7" s="54">
        <f>SUM($O$4:R7)</f>
        <v>20</v>
      </c>
      <c r="T7" s="103">
        <f t="shared" si="1"/>
        <v>-2</v>
      </c>
      <c r="U7" s="55">
        <f>SUM($V$4:Y7)</f>
        <v>22</v>
      </c>
      <c r="V7" s="53"/>
      <c r="W7" s="52"/>
      <c r="X7" s="53"/>
      <c r="Y7" s="53" t="s">
        <v>2</v>
      </c>
    </row>
    <row r="8" spans="1:26">
      <c r="A8" s="56">
        <v>5</v>
      </c>
      <c r="B8" s="485">
        <v>4</v>
      </c>
      <c r="C8" s="53"/>
      <c r="D8" s="53"/>
      <c r="E8" s="89"/>
      <c r="F8" s="54">
        <f>SUM($B$4:E8)</f>
        <v>14</v>
      </c>
      <c r="G8" s="103">
        <f t="shared" si="0"/>
        <v>-15</v>
      </c>
      <c r="H8" s="55">
        <f>SUM($I$4:L8)</f>
        <v>29</v>
      </c>
      <c r="I8" s="52">
        <v>10</v>
      </c>
      <c r="J8" s="53"/>
      <c r="K8" s="53"/>
      <c r="L8" s="89"/>
      <c r="N8" s="56">
        <v>5</v>
      </c>
      <c r="O8" s="52">
        <v>2</v>
      </c>
      <c r="P8" s="53"/>
      <c r="Q8" s="53"/>
      <c r="R8" s="89"/>
      <c r="S8" s="54">
        <f>SUM($O$4:R8)</f>
        <v>22</v>
      </c>
      <c r="T8" s="103">
        <f t="shared" si="1"/>
        <v>-5</v>
      </c>
      <c r="U8" s="55">
        <f>SUM($V$4:Y8)</f>
        <v>27</v>
      </c>
      <c r="V8" s="52">
        <v>5</v>
      </c>
      <c r="W8" s="53"/>
      <c r="X8" s="53"/>
      <c r="Y8" s="89"/>
    </row>
    <row r="9" spans="1:26">
      <c r="A9" s="56">
        <v>6</v>
      </c>
      <c r="B9" s="53"/>
      <c r="C9" s="52">
        <v>10</v>
      </c>
      <c r="D9" s="53"/>
      <c r="E9" s="53"/>
      <c r="F9" s="54">
        <f>SUM($B$4:E9)</f>
        <v>24</v>
      </c>
      <c r="G9" s="103">
        <f t="shared" si="0"/>
        <v>-16</v>
      </c>
      <c r="H9" s="55">
        <f>SUM($I$4:L9)</f>
        <v>40</v>
      </c>
      <c r="I9" s="53"/>
      <c r="J9" s="52">
        <v>11</v>
      </c>
      <c r="K9" s="53"/>
      <c r="L9" s="53"/>
      <c r="N9" s="56">
        <v>6</v>
      </c>
      <c r="O9" s="53"/>
      <c r="P9" s="52">
        <v>3</v>
      </c>
      <c r="Q9" s="53"/>
      <c r="R9" s="53"/>
      <c r="S9" s="54">
        <f>SUM($O$4:R9)</f>
        <v>25</v>
      </c>
      <c r="T9" s="103">
        <f t="shared" si="1"/>
        <v>-2</v>
      </c>
      <c r="U9" s="55">
        <f>SUM($V$4:Y9)</f>
        <v>27</v>
      </c>
      <c r="V9" s="53"/>
      <c r="W9" s="52" t="s">
        <v>2</v>
      </c>
      <c r="X9" s="53"/>
      <c r="Y9" s="53"/>
    </row>
    <row r="10" spans="1:26">
      <c r="A10" s="56">
        <v>7</v>
      </c>
      <c r="B10" s="52"/>
      <c r="C10" s="53"/>
      <c r="D10" s="53">
        <v>3</v>
      </c>
      <c r="E10" s="89"/>
      <c r="F10" s="54">
        <f>SUM($B$4:E10)</f>
        <v>27</v>
      </c>
      <c r="G10" s="103">
        <f t="shared" si="0"/>
        <v>-16</v>
      </c>
      <c r="H10" s="55">
        <f>SUM($I$4:L10)</f>
        <v>43</v>
      </c>
      <c r="I10" s="52"/>
      <c r="J10" s="53"/>
      <c r="K10" s="53">
        <v>3</v>
      </c>
      <c r="L10" s="89"/>
      <c r="N10" s="56">
        <v>7</v>
      </c>
      <c r="O10" s="52"/>
      <c r="P10" s="53"/>
      <c r="Q10" s="53" t="s">
        <v>2</v>
      </c>
      <c r="R10" s="89"/>
      <c r="S10" s="54">
        <f>SUM($O$4:R10)</f>
        <v>25</v>
      </c>
      <c r="T10" s="103">
        <f t="shared" si="1"/>
        <v>-13</v>
      </c>
      <c r="U10" s="55">
        <f>SUM($V$4:Y10)</f>
        <v>38</v>
      </c>
      <c r="V10" s="52"/>
      <c r="W10" s="53"/>
      <c r="X10" s="53">
        <v>11</v>
      </c>
      <c r="Y10" s="89"/>
    </row>
    <row r="11" spans="1:26">
      <c r="A11" s="51">
        <v>8</v>
      </c>
      <c r="B11" s="53"/>
      <c r="C11" s="52"/>
      <c r="D11" s="53"/>
      <c r="E11" s="53">
        <v>3</v>
      </c>
      <c r="F11" s="54">
        <f>SUM($B$4:E11)</f>
        <v>30</v>
      </c>
      <c r="G11" s="103">
        <f t="shared" si="0"/>
        <v>5</v>
      </c>
      <c r="H11" s="55">
        <f>SUM($I$4:L11)</f>
        <v>25</v>
      </c>
      <c r="I11" s="53"/>
      <c r="J11" s="52"/>
      <c r="K11" s="53"/>
      <c r="L11" s="478">
        <v>-18</v>
      </c>
      <c r="N11" s="56">
        <v>8</v>
      </c>
      <c r="O11" s="53"/>
      <c r="P11" s="52"/>
      <c r="Q11" s="53"/>
      <c r="R11" s="53">
        <v>7</v>
      </c>
      <c r="S11" s="54">
        <f>SUM($O$4:R11)</f>
        <v>32</v>
      </c>
      <c r="T11" s="103">
        <f t="shared" si="1"/>
        <v>-7</v>
      </c>
      <c r="U11" s="55">
        <f>SUM($V$4:Y11)</f>
        <v>39</v>
      </c>
      <c r="V11" s="53"/>
      <c r="W11" s="52"/>
      <c r="X11" s="53"/>
      <c r="Y11" s="485">
        <v>1</v>
      </c>
    </row>
    <row r="12" spans="1:26">
      <c r="A12" s="56">
        <v>9</v>
      </c>
      <c r="B12" s="53" t="s">
        <v>2</v>
      </c>
      <c r="C12" s="52"/>
      <c r="D12" s="53"/>
      <c r="E12" s="53"/>
      <c r="F12" s="54">
        <f>SUM($B$4:E12)</f>
        <v>30</v>
      </c>
      <c r="G12" s="103">
        <f t="shared" si="0"/>
        <v>5</v>
      </c>
      <c r="H12" s="55">
        <f>SUM($I$4:L12)</f>
        <v>25</v>
      </c>
      <c r="I12" s="53" t="s">
        <v>2</v>
      </c>
      <c r="J12" s="52"/>
      <c r="K12" s="53"/>
      <c r="L12" s="89"/>
      <c r="N12" s="56">
        <v>9</v>
      </c>
      <c r="O12" s="53">
        <v>11</v>
      </c>
      <c r="P12" s="52"/>
      <c r="Q12" s="53"/>
      <c r="R12" s="53"/>
      <c r="S12" s="54">
        <f>SUM($O$4:R12)</f>
        <v>43</v>
      </c>
      <c r="T12" s="103">
        <f t="shared" si="1"/>
        <v>-7</v>
      </c>
      <c r="U12" s="55">
        <f>SUM($V$4:Y12)</f>
        <v>50</v>
      </c>
      <c r="V12" s="53">
        <v>11</v>
      </c>
      <c r="W12" s="52"/>
      <c r="X12" s="53"/>
      <c r="Y12" s="53"/>
    </row>
    <row r="13" spans="1:26">
      <c r="A13" s="56">
        <v>10</v>
      </c>
      <c r="B13" s="53"/>
      <c r="C13" s="52">
        <v>11</v>
      </c>
      <c r="D13" s="53"/>
      <c r="E13" s="53"/>
      <c r="F13" s="54">
        <f>SUM($B$4:E13)</f>
        <v>41</v>
      </c>
      <c r="G13" s="103">
        <f t="shared" si="0"/>
        <v>4</v>
      </c>
      <c r="H13" s="55">
        <f>SUM($I$4:L13)</f>
        <v>37</v>
      </c>
      <c r="I13" s="53"/>
      <c r="J13" s="52">
        <v>12</v>
      </c>
      <c r="K13" s="53"/>
      <c r="L13" s="89"/>
      <c r="P13" s="59"/>
      <c r="S13" s="59"/>
      <c r="V13" s="58"/>
      <c r="W13" s="59"/>
      <c r="X13" s="58"/>
      <c r="Y13" s="59"/>
    </row>
    <row r="14" spans="1:26">
      <c r="A14" s="51">
        <v>11</v>
      </c>
      <c r="B14" s="52"/>
      <c r="C14" s="53"/>
      <c r="D14" s="53">
        <v>8</v>
      </c>
      <c r="E14" s="89"/>
      <c r="F14" s="54">
        <f>SUM($B$4:E14)</f>
        <v>49</v>
      </c>
      <c r="G14" s="103">
        <f>F14-H14</f>
        <v>10</v>
      </c>
      <c r="H14" s="55">
        <f>SUM($I$4:L14)</f>
        <v>39</v>
      </c>
      <c r="I14" s="52"/>
      <c r="J14" s="53"/>
      <c r="K14" s="53">
        <v>2</v>
      </c>
      <c r="L14" s="89"/>
      <c r="P14" s="59"/>
      <c r="S14" s="59"/>
      <c r="V14" s="58"/>
      <c r="W14" s="59"/>
      <c r="X14" s="58"/>
      <c r="Y14" s="59"/>
    </row>
    <row r="15" spans="1:26">
      <c r="A15" s="56">
        <v>12</v>
      </c>
      <c r="B15" s="53"/>
      <c r="C15" s="52"/>
      <c r="D15" s="53"/>
      <c r="E15" s="60">
        <v>-24</v>
      </c>
      <c r="F15" s="54">
        <f>SUM($B$4:E15)</f>
        <v>25</v>
      </c>
      <c r="G15" s="103">
        <f>F15-H15</f>
        <v>-20</v>
      </c>
      <c r="H15" s="55">
        <f>SUM($I$4:L15)</f>
        <v>45</v>
      </c>
      <c r="I15" s="53"/>
      <c r="J15" s="52"/>
      <c r="K15" s="53"/>
      <c r="L15" s="53">
        <v>6</v>
      </c>
      <c r="P15" s="59"/>
      <c r="S15" s="59"/>
      <c r="V15" s="58"/>
      <c r="W15" s="59"/>
      <c r="X15" s="58"/>
      <c r="Y15" s="59"/>
    </row>
    <row r="16" spans="1:26">
      <c r="A16" s="56">
        <v>13</v>
      </c>
      <c r="B16" s="52">
        <v>9</v>
      </c>
      <c r="C16" s="53"/>
      <c r="D16" s="53"/>
      <c r="E16" s="89"/>
      <c r="F16" s="54">
        <f>SUM($B$4:E16)</f>
        <v>34</v>
      </c>
      <c r="G16" s="103">
        <f>F16-H16</f>
        <v>-14</v>
      </c>
      <c r="H16" s="55">
        <f>SUM($I$4:L16)</f>
        <v>48</v>
      </c>
      <c r="I16" s="52">
        <v>3</v>
      </c>
      <c r="J16" s="53"/>
      <c r="K16" s="53"/>
      <c r="L16" s="89"/>
      <c r="P16" s="59"/>
      <c r="S16" s="59"/>
      <c r="V16" s="58"/>
      <c r="W16" s="59"/>
      <c r="X16" s="58"/>
      <c r="Y16" s="59"/>
    </row>
    <row r="17" spans="1:25">
      <c r="A17" s="51">
        <v>14</v>
      </c>
      <c r="B17" s="52"/>
      <c r="C17" s="53">
        <v>2</v>
      </c>
      <c r="D17" s="53"/>
      <c r="E17" s="89"/>
      <c r="F17" s="54">
        <f>SUM($B$4:E17)</f>
        <v>36</v>
      </c>
      <c r="G17" s="103">
        <f>F17-H17</f>
        <v>-14</v>
      </c>
      <c r="H17" s="55">
        <f>SUM($I$4:L17)</f>
        <v>50</v>
      </c>
      <c r="I17" s="52"/>
      <c r="J17" s="53">
        <v>2</v>
      </c>
      <c r="K17" s="53"/>
      <c r="L17" s="89"/>
      <c r="P17" s="59"/>
      <c r="S17" s="59"/>
      <c r="V17" s="58"/>
      <c r="W17" s="59"/>
      <c r="X17" s="58"/>
      <c r="Y17" s="59"/>
    </row>
    <row r="18" spans="1:25">
      <c r="C18" s="59"/>
      <c r="I18" s="58"/>
      <c r="J18" s="59"/>
      <c r="K18" s="58"/>
      <c r="L18" s="59"/>
      <c r="P18" s="59"/>
      <c r="S18" s="59"/>
      <c r="V18" s="58"/>
      <c r="W18" s="59"/>
      <c r="X18" s="58"/>
      <c r="Y18" s="59"/>
    </row>
    <row r="19" spans="1:25" ht="15">
      <c r="A19" s="64" t="s">
        <v>3</v>
      </c>
      <c r="B19" s="52">
        <f>SUM(B4:B18)</f>
        <v>21</v>
      </c>
      <c r="C19" s="52">
        <f>SUM(C4:C18)</f>
        <v>25</v>
      </c>
      <c r="D19" s="52">
        <f>SUM(D4:D18)</f>
        <v>11</v>
      </c>
      <c r="E19" s="564">
        <f>SUM(E4:E18)</f>
        <v>-21</v>
      </c>
      <c r="F19" s="66">
        <v>36</v>
      </c>
      <c r="H19" s="66">
        <f>MAX(H4:H17)</f>
        <v>50</v>
      </c>
      <c r="I19" s="52">
        <f>SUM(I4:I18)</f>
        <v>22</v>
      </c>
      <c r="J19" s="52">
        <f>SUM(J4:J18)</f>
        <v>33</v>
      </c>
      <c r="K19" s="65">
        <f>SUM(K4:K18)</f>
        <v>7</v>
      </c>
      <c r="L19" s="564">
        <f>SUM(L4:L18)</f>
        <v>-12</v>
      </c>
      <c r="N19" s="64" t="s">
        <v>3</v>
      </c>
      <c r="O19" s="52">
        <f>SUM(O4:O18)</f>
        <v>22</v>
      </c>
      <c r="P19" s="65">
        <f>SUM(P4:P18)</f>
        <v>9</v>
      </c>
      <c r="Q19" s="52">
        <f>SUM(Q4:Q18)</f>
        <v>5</v>
      </c>
      <c r="R19" s="52">
        <f>SUM(R4:R18)</f>
        <v>7</v>
      </c>
      <c r="S19" s="66">
        <f>MAX(S4:S16)</f>
        <v>43</v>
      </c>
      <c r="U19" s="66">
        <f>MAX(U4:U16)</f>
        <v>50</v>
      </c>
      <c r="V19" s="52">
        <f>SUM(V4:V18)</f>
        <v>23</v>
      </c>
      <c r="W19" s="52">
        <f>SUM(W4:W18)</f>
        <v>6</v>
      </c>
      <c r="X19" s="52">
        <f>SUM(X4:X18)</f>
        <v>20</v>
      </c>
      <c r="Y19" s="52">
        <f>SUM(Y4:Y18)</f>
        <v>1</v>
      </c>
    </row>
    <row r="20" spans="1:25" ht="15">
      <c r="A20" s="67" t="s">
        <v>4</v>
      </c>
      <c r="B20" s="53">
        <f>COUNTA(B4:B18)</f>
        <v>4</v>
      </c>
      <c r="C20" s="53">
        <f>COUNTA(C4:C18)</f>
        <v>4</v>
      </c>
      <c r="D20" s="53">
        <f>COUNTA(D4:D18)</f>
        <v>3</v>
      </c>
      <c r="E20" s="53">
        <f>COUNTA(E4:E18)</f>
        <v>3</v>
      </c>
      <c r="F20" s="66">
        <f>SUM(B20:E20)</f>
        <v>14</v>
      </c>
      <c r="H20" s="66">
        <f>SUM(I20:L20)</f>
        <v>14</v>
      </c>
      <c r="I20" s="53">
        <f>COUNTA(I4:I18)</f>
        <v>4</v>
      </c>
      <c r="J20" s="53">
        <f>COUNTA(J4:J18)</f>
        <v>4</v>
      </c>
      <c r="K20" s="53">
        <f>COUNTA(K4:K18)</f>
        <v>3</v>
      </c>
      <c r="L20" s="53">
        <f>COUNTA(L4:L18)</f>
        <v>3</v>
      </c>
      <c r="N20" s="67" t="s">
        <v>4</v>
      </c>
      <c r="O20" s="53">
        <f>COUNTA(O4:O18)</f>
        <v>3</v>
      </c>
      <c r="P20" s="53">
        <f>COUNTA(P4:P18)</f>
        <v>2</v>
      </c>
      <c r="Q20" s="53">
        <f>COUNTA(Q4:Q18)</f>
        <v>2</v>
      </c>
      <c r="R20" s="53">
        <f>COUNTA(R4:R18)</f>
        <v>2</v>
      </c>
      <c r="S20" s="66">
        <f>SUM(O20:R20)</f>
        <v>9</v>
      </c>
      <c r="U20" s="66">
        <f>SUM(V20:Y20)</f>
        <v>9</v>
      </c>
      <c r="V20" s="53">
        <f>COUNTA(V4:V18)</f>
        <v>3</v>
      </c>
      <c r="W20" s="53">
        <f>COUNTA(W4:W18)</f>
        <v>2</v>
      </c>
      <c r="X20" s="53">
        <f>COUNTA(X4:X18)</f>
        <v>2</v>
      </c>
      <c r="Y20" s="53">
        <f>COUNTA(Y4:Y18)</f>
        <v>2</v>
      </c>
    </row>
    <row r="21" spans="1:25" ht="15">
      <c r="A21" s="64" t="s">
        <v>6</v>
      </c>
      <c r="B21" s="52">
        <f>B20-COUNT(B4:B18)</f>
        <v>1</v>
      </c>
      <c r="C21" s="52">
        <f>C20-COUNT(C4:C18)</f>
        <v>0</v>
      </c>
      <c r="D21" s="52">
        <f>D20-COUNT(D4:D18)</f>
        <v>1</v>
      </c>
      <c r="E21" s="52">
        <f>E20-COUNT(E4:E18)</f>
        <v>1</v>
      </c>
      <c r="F21" s="66">
        <f>SUM(B21:E21)</f>
        <v>3</v>
      </c>
      <c r="H21" s="66">
        <f>SUM(I21:L21)</f>
        <v>2</v>
      </c>
      <c r="I21" s="52">
        <f>I20-COUNT(I4:I18)</f>
        <v>1</v>
      </c>
      <c r="J21" s="65">
        <f>J20-COUNT(J4:J18)</f>
        <v>0</v>
      </c>
      <c r="K21" s="52">
        <f>K20-COUNT(K4:K18)</f>
        <v>0</v>
      </c>
      <c r="L21" s="52">
        <f>L20-COUNT(L4:L18)</f>
        <v>1</v>
      </c>
      <c r="N21" s="64" t="s">
        <v>6</v>
      </c>
      <c r="O21" s="52">
        <f>O20-COUNT(O4:O18)</f>
        <v>0</v>
      </c>
      <c r="P21" s="65">
        <f>P20-COUNT(P4:P18)</f>
        <v>0</v>
      </c>
      <c r="Q21" s="65">
        <f>Q20-COUNT(Q4:Q18)</f>
        <v>1</v>
      </c>
      <c r="R21" s="52">
        <f>R20-COUNT(R4:R18)</f>
        <v>1</v>
      </c>
      <c r="S21" s="66">
        <f>SUM(O21:R21)</f>
        <v>2</v>
      </c>
      <c r="U21" s="66">
        <f>SUM(V21:Y21)</f>
        <v>2</v>
      </c>
      <c r="V21" s="52">
        <f>V20-COUNT(V4:V18)</f>
        <v>0</v>
      </c>
      <c r="W21" s="52">
        <f>W20-COUNT(W4:W18)</f>
        <v>1</v>
      </c>
      <c r="X21" s="52">
        <f>X20-COUNT(X4:X18)</f>
        <v>0</v>
      </c>
      <c r="Y21" s="52">
        <f>Y20-COUNT(Y4:Y18)</f>
        <v>1</v>
      </c>
    </row>
    <row r="22" spans="1:25" ht="15">
      <c r="A22" s="64" t="s">
        <v>12</v>
      </c>
      <c r="B22" s="75">
        <f>B21/B20</f>
        <v>0.25</v>
      </c>
      <c r="C22" s="72">
        <f>C21/C20</f>
        <v>0</v>
      </c>
      <c r="D22" s="72">
        <f>D21/D20</f>
        <v>0.33333333333333331</v>
      </c>
      <c r="E22" s="72">
        <f>E21/E20</f>
        <v>0.33333333333333331</v>
      </c>
      <c r="F22" s="74">
        <f>F21/F20</f>
        <v>0.21428571428571427</v>
      </c>
      <c r="H22" s="74">
        <f>H21/H20</f>
        <v>0.14285714285714285</v>
      </c>
      <c r="I22" s="72">
        <f>I21/I20</f>
        <v>0.25</v>
      </c>
      <c r="J22" s="73">
        <f>J21/J20</f>
        <v>0</v>
      </c>
      <c r="K22" s="72">
        <f>K21/K20</f>
        <v>0</v>
      </c>
      <c r="L22" s="72">
        <f>L21/L20</f>
        <v>0.33333333333333331</v>
      </c>
      <c r="N22" s="64" t="s">
        <v>12</v>
      </c>
      <c r="O22" s="72">
        <f>O21/O20</f>
        <v>0</v>
      </c>
      <c r="P22" s="73">
        <f>P21/P20</f>
        <v>0</v>
      </c>
      <c r="Q22" s="73">
        <f>Q21/Q20</f>
        <v>0.5</v>
      </c>
      <c r="R22" s="72">
        <f>R21/R20</f>
        <v>0.5</v>
      </c>
      <c r="S22" s="74">
        <f>S21/S20</f>
        <v>0.22222222222222221</v>
      </c>
      <c r="U22" s="74">
        <f>U21/U20</f>
        <v>0.22222222222222221</v>
      </c>
      <c r="V22" s="72">
        <f>V21/V20</f>
        <v>0</v>
      </c>
      <c r="W22" s="72">
        <f>W21/W20</f>
        <v>0.5</v>
      </c>
      <c r="X22" s="72">
        <f>X21/X20</f>
        <v>0</v>
      </c>
      <c r="Y22" s="72">
        <f>Y21/Y20</f>
        <v>0.5</v>
      </c>
    </row>
    <row r="23" spans="1:25" ht="15">
      <c r="A23" s="64" t="s">
        <v>5</v>
      </c>
      <c r="B23" s="79">
        <f>B19/B20</f>
        <v>5.25</v>
      </c>
      <c r="C23" s="79">
        <f>C19/C20</f>
        <v>6.25</v>
      </c>
      <c r="D23" s="79">
        <f>D19/D20</f>
        <v>3.6666666666666665</v>
      </c>
      <c r="E23" s="79">
        <f>E19/E20</f>
        <v>-7</v>
      </c>
      <c r="F23" s="81">
        <f>F19/F20</f>
        <v>2.5714285714285716</v>
      </c>
      <c r="H23" s="81">
        <f>H19/H20</f>
        <v>3.5714285714285716</v>
      </c>
      <c r="I23" s="79">
        <f>I19/I20</f>
        <v>5.5</v>
      </c>
      <c r="J23" s="79">
        <f>J19/J20</f>
        <v>8.25</v>
      </c>
      <c r="K23" s="80">
        <f>K19/K20</f>
        <v>2.3333333333333335</v>
      </c>
      <c r="L23" s="79">
        <f>L19/L20</f>
        <v>-4</v>
      </c>
      <c r="N23" s="64" t="s">
        <v>5</v>
      </c>
      <c r="O23" s="79">
        <f>O19/O20</f>
        <v>7.333333333333333</v>
      </c>
      <c r="P23" s="80">
        <f>P19/P20</f>
        <v>4.5</v>
      </c>
      <c r="Q23" s="79">
        <f>Q19/Q20</f>
        <v>2.5</v>
      </c>
      <c r="R23" s="79">
        <f>R19/R20</f>
        <v>3.5</v>
      </c>
      <c r="S23" s="81">
        <f>S19/S20</f>
        <v>4.7777777777777777</v>
      </c>
      <c r="U23" s="81">
        <f>U19/U20</f>
        <v>5.5555555555555554</v>
      </c>
      <c r="V23" s="79">
        <f>V19/V20</f>
        <v>7.666666666666667</v>
      </c>
      <c r="W23" s="79">
        <f>W19/W20</f>
        <v>3</v>
      </c>
      <c r="X23" s="79">
        <f>X19/X20</f>
        <v>10</v>
      </c>
      <c r="Y23" s="79">
        <f>Y19/Y20</f>
        <v>0.5</v>
      </c>
    </row>
    <row r="24" spans="1:25" ht="15">
      <c r="A24" s="64" t="s">
        <v>8</v>
      </c>
      <c r="B24" s="84">
        <f>B19/(B20-B21)</f>
        <v>7</v>
      </c>
      <c r="C24" s="84">
        <f>C19/(C20-C21)</f>
        <v>6.25</v>
      </c>
      <c r="D24" s="84">
        <f>D19/(D20-D21)</f>
        <v>5.5</v>
      </c>
      <c r="E24" s="84">
        <f>E19/(E20-E21)</f>
        <v>-10.5</v>
      </c>
      <c r="F24" s="85">
        <f>F19/(F20-F21)</f>
        <v>3.2727272727272729</v>
      </c>
      <c r="H24" s="85">
        <f>H19/(H20-H21)</f>
        <v>4.166666666666667</v>
      </c>
      <c r="I24" s="84">
        <f>I19/(I20-I21)</f>
        <v>7.333333333333333</v>
      </c>
      <c r="J24" s="79">
        <f>J19/(J20-J21)</f>
        <v>8.25</v>
      </c>
      <c r="K24" s="80">
        <f>K19/(K20-K21)</f>
        <v>2.3333333333333335</v>
      </c>
      <c r="L24" s="84">
        <v>0</v>
      </c>
      <c r="N24" s="64" t="s">
        <v>8</v>
      </c>
      <c r="O24" s="79">
        <f>O19/(O20-O21)</f>
        <v>7.333333333333333</v>
      </c>
      <c r="P24" s="80">
        <f>P19/(P20-P21)</f>
        <v>4.5</v>
      </c>
      <c r="Q24" s="84">
        <f>Q19/(Q20-Q21)</f>
        <v>5</v>
      </c>
      <c r="R24" s="84">
        <f>R19/(R20-R21)</f>
        <v>7</v>
      </c>
      <c r="S24" s="85">
        <f>S19/(S20-S21)</f>
        <v>6.1428571428571432</v>
      </c>
      <c r="U24" s="85">
        <f>U19/(U20-U21)</f>
        <v>7.1428571428571432</v>
      </c>
      <c r="V24" s="84">
        <f>V19/(V20-V21)</f>
        <v>7.666666666666667</v>
      </c>
      <c r="W24" s="84">
        <f>W19/(W20-W21)</f>
        <v>6</v>
      </c>
      <c r="X24" s="84">
        <f>X19/(X20-X21)</f>
        <v>10</v>
      </c>
      <c r="Y24" s="84">
        <f>Y19/(Y20-Y21)</f>
        <v>1</v>
      </c>
    </row>
    <row r="25" spans="1:25">
      <c r="C25" s="59"/>
      <c r="P25" s="59"/>
    </row>
    <row r="26" spans="1:25">
      <c r="C26" s="59"/>
      <c r="P26" s="59"/>
    </row>
    <row r="27" spans="1:25">
      <c r="C27" s="59"/>
      <c r="H27" s="102"/>
      <c r="P27" s="59"/>
    </row>
    <row r="28" spans="1:25">
      <c r="C28" s="59"/>
      <c r="P28" s="59"/>
    </row>
    <row r="29" spans="1:25">
      <c r="C29" s="59"/>
      <c r="P29" s="59"/>
    </row>
    <row r="30" spans="1:25">
      <c r="C30" s="59"/>
      <c r="P30" s="59"/>
    </row>
    <row r="31" spans="1:25">
      <c r="C31" s="59"/>
      <c r="P31" s="59"/>
    </row>
    <row r="32" spans="1:25">
      <c r="C32" s="59"/>
      <c r="P32" s="59"/>
    </row>
    <row r="33" spans="1:26">
      <c r="C33" s="59"/>
      <c r="P33" s="59"/>
    </row>
    <row r="34" spans="1:26">
      <c r="C34" s="59"/>
      <c r="P34" s="59"/>
    </row>
    <row r="35" spans="1:26">
      <c r="C35" s="59"/>
      <c r="P35" s="59"/>
    </row>
    <row r="36" spans="1:26" s="58" customFormat="1">
      <c r="A36" s="40"/>
      <c r="C36" s="59"/>
      <c r="E36" s="59"/>
      <c r="F36" s="59"/>
      <c r="G36" s="35"/>
      <c r="H36" s="35"/>
      <c r="I36" s="35"/>
      <c r="J36" s="35"/>
      <c r="K36" s="35"/>
      <c r="L36" s="35"/>
      <c r="M36" s="35"/>
      <c r="N36" s="40"/>
      <c r="P36" s="59"/>
      <c r="R36" s="59"/>
      <c r="S36" s="35"/>
      <c r="T36" s="35"/>
      <c r="U36" s="35"/>
      <c r="V36" s="35"/>
      <c r="W36" s="35"/>
      <c r="X36" s="35"/>
      <c r="Y36" s="35"/>
      <c r="Z36" s="35"/>
    </row>
  </sheetData>
  <mergeCells count="4">
    <mergeCell ref="B1:E1"/>
    <mergeCell ref="I1:L1"/>
    <mergeCell ref="O1:R1"/>
    <mergeCell ref="V1:Y1"/>
  </mergeCells>
  <conditionalFormatting sqref="F4 F14 F17">
    <cfRule type="cellIs" dxfId="175" priority="15" operator="lessThan">
      <formula>H4</formula>
    </cfRule>
    <cfRule type="cellIs" dxfId="174" priority="16" operator="greaterThanOrEqual">
      <formula>H4</formula>
    </cfRule>
  </conditionalFormatting>
  <conditionalFormatting sqref="H4 H14 H17">
    <cfRule type="cellIs" dxfId="173" priority="13" operator="lessThan">
      <formula>F4</formula>
    </cfRule>
    <cfRule type="cellIs" dxfId="172" priority="14" operator="greaterThanOrEqual">
      <formula>F4</formula>
    </cfRule>
  </conditionalFormatting>
  <conditionalFormatting sqref="F5:F13 F15:F16">
    <cfRule type="cellIs" dxfId="171" priority="11" operator="lessThan">
      <formula>H5</formula>
    </cfRule>
    <cfRule type="cellIs" dxfId="170" priority="12" operator="greaterThanOrEqual">
      <formula>H5</formula>
    </cfRule>
  </conditionalFormatting>
  <conditionalFormatting sqref="H5:H13 H15:H16">
    <cfRule type="cellIs" dxfId="169" priority="9" operator="lessThan">
      <formula>F5</formula>
    </cfRule>
    <cfRule type="cellIs" dxfId="168" priority="10" operator="greaterThanOrEqual">
      <formula>F5</formula>
    </cfRule>
  </conditionalFormatting>
  <conditionalFormatting sqref="S4">
    <cfRule type="cellIs" dxfId="167" priority="7" operator="lessThan">
      <formula>U4</formula>
    </cfRule>
    <cfRule type="cellIs" dxfId="166" priority="8" operator="greaterThanOrEqual">
      <formula>U4</formula>
    </cfRule>
  </conditionalFormatting>
  <conditionalFormatting sqref="U4">
    <cfRule type="cellIs" dxfId="165" priority="5" operator="lessThan">
      <formula>S4</formula>
    </cfRule>
    <cfRule type="cellIs" dxfId="164" priority="6" operator="greaterThanOrEqual">
      <formula>S4</formula>
    </cfRule>
  </conditionalFormatting>
  <conditionalFormatting sqref="S5:S12">
    <cfRule type="cellIs" dxfId="163" priority="3" operator="lessThan">
      <formula>U5</formula>
    </cfRule>
    <cfRule type="cellIs" dxfId="162" priority="4" operator="greaterThanOrEqual">
      <formula>U5</formula>
    </cfRule>
  </conditionalFormatting>
  <conditionalFormatting sqref="U5:U12">
    <cfRule type="cellIs" dxfId="161" priority="1" operator="lessThan">
      <formula>S5</formula>
    </cfRule>
    <cfRule type="cellIs" dxfId="160" priority="2" operator="greaterThanOrEqual">
      <formula>S5</formula>
    </cfRule>
  </conditionalFormatting>
  <pageMargins left="0.78740157480314965" right="0.59055118110236227" top="0.59055118110236227" bottom="0.59055118110236227" header="0.59055118110236227" footer="0.59055118110236227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Y30"/>
  <sheetViews>
    <sheetView zoomScale="90" zoomScaleNormal="90" workbookViewId="0"/>
  </sheetViews>
  <sheetFormatPr baseColWidth="10" defaultRowHeight="14.25"/>
  <cols>
    <col min="1" max="1" width="14.28515625" style="40" bestFit="1" customWidth="1"/>
    <col min="2" max="4" width="7.7109375" style="58" customWidth="1"/>
    <col min="5" max="5" width="7.7109375" style="59" customWidth="1"/>
    <col min="6" max="6" width="5.140625" style="35" bestFit="1" customWidth="1"/>
    <col min="7" max="7" width="4.7109375" style="35" customWidth="1"/>
    <col min="8" max="8" width="5.140625" style="35" bestFit="1" customWidth="1"/>
    <col min="9" max="12" width="7.7109375" style="35" customWidth="1"/>
    <col min="13" max="13" width="11.42578125" style="35"/>
    <col min="14" max="14" width="14.28515625" style="40" bestFit="1" customWidth="1"/>
    <col min="15" max="17" width="7.7109375" style="58" customWidth="1"/>
    <col min="18" max="18" width="7.7109375" style="59" customWidth="1"/>
    <col min="19" max="19" width="5.140625" style="59" bestFit="1" customWidth="1"/>
    <col min="20" max="20" width="4.7109375" style="35" customWidth="1"/>
    <col min="21" max="21" width="5.140625" style="35" bestFit="1" customWidth="1"/>
    <col min="22" max="25" width="7.7109375" style="35" customWidth="1"/>
    <col min="26" max="16384" width="11.42578125" style="35"/>
  </cols>
  <sheetData>
    <row r="1" spans="1:25" ht="15">
      <c r="B1" s="1540" t="s">
        <v>117</v>
      </c>
      <c r="C1" s="1540"/>
      <c r="D1" s="1540"/>
      <c r="E1" s="1540"/>
      <c r="F1" s="41">
        <f>IF(COUNTIF(F4:F11,"&gt;37")=0,0,COUNTIF(F4:F11,"&gt;37")-1)</f>
        <v>1</v>
      </c>
      <c r="H1" s="41">
        <f>IF(COUNTIF(H4:H11,"&gt;37")=0,0,COUNTIF(H4:H11,"&gt;37")-1)</f>
        <v>0</v>
      </c>
      <c r="I1" s="1541" t="s">
        <v>97</v>
      </c>
      <c r="J1" s="1541"/>
      <c r="K1" s="1541"/>
      <c r="L1" s="1541"/>
      <c r="O1" s="1541" t="s">
        <v>97</v>
      </c>
      <c r="P1" s="1541"/>
      <c r="Q1" s="1541"/>
      <c r="R1" s="1541"/>
      <c r="S1" s="41">
        <f>IF(COUNTIF(S4:S11,"&gt;37")=0,0,COUNTIF(S4:S11,"&gt;37")-1)</f>
        <v>0</v>
      </c>
      <c r="U1" s="41">
        <f>IF(COUNTIF(U4:U11,"&gt;37")=0,0,COUNTIF(U4:U11,"&gt;37")-1)</f>
        <v>1</v>
      </c>
      <c r="V1" s="1540" t="s">
        <v>117</v>
      </c>
      <c r="W1" s="1540"/>
      <c r="X1" s="1540"/>
      <c r="Y1" s="1540"/>
    </row>
    <row r="2" spans="1:25" ht="15">
      <c r="B2" s="469">
        <v>1</v>
      </c>
      <c r="C2" s="470">
        <v>2</v>
      </c>
      <c r="D2" s="471">
        <v>3</v>
      </c>
      <c r="E2" s="472">
        <v>4</v>
      </c>
      <c r="F2" s="101"/>
      <c r="G2" s="102"/>
      <c r="I2" s="137">
        <v>1</v>
      </c>
      <c r="J2" s="138">
        <v>2</v>
      </c>
      <c r="K2" s="139">
        <v>3</v>
      </c>
      <c r="L2" s="468">
        <v>4</v>
      </c>
      <c r="O2" s="137">
        <v>1</v>
      </c>
      <c r="P2" s="138">
        <v>2</v>
      </c>
      <c r="Q2" s="139">
        <v>3</v>
      </c>
      <c r="R2" s="468">
        <v>4</v>
      </c>
      <c r="S2" s="102"/>
      <c r="T2" s="102"/>
      <c r="U2" s="102"/>
      <c r="V2" s="469">
        <v>1</v>
      </c>
      <c r="W2" s="470">
        <v>2</v>
      </c>
      <c r="X2" s="471">
        <v>3</v>
      </c>
      <c r="Y2" s="472">
        <v>4</v>
      </c>
    </row>
    <row r="3" spans="1:25" ht="60.75">
      <c r="B3" s="475" t="s">
        <v>118</v>
      </c>
      <c r="C3" s="475" t="s">
        <v>119</v>
      </c>
      <c r="D3" s="475" t="s">
        <v>120</v>
      </c>
      <c r="E3" s="475" t="s">
        <v>121</v>
      </c>
      <c r="F3" s="102"/>
      <c r="G3" s="102"/>
      <c r="H3" s="102"/>
      <c r="I3" s="140" t="s">
        <v>53</v>
      </c>
      <c r="J3" s="140" t="s">
        <v>0</v>
      </c>
      <c r="K3" s="140" t="s">
        <v>56</v>
      </c>
      <c r="L3" s="140" t="s">
        <v>1</v>
      </c>
      <c r="M3" s="102"/>
      <c r="N3" s="91"/>
      <c r="O3" s="140" t="s">
        <v>0</v>
      </c>
      <c r="P3" s="140" t="s">
        <v>56</v>
      </c>
      <c r="Q3" s="140" t="s">
        <v>1</v>
      </c>
      <c r="R3" s="140" t="s">
        <v>53</v>
      </c>
      <c r="S3" s="101"/>
      <c r="T3" s="102"/>
      <c r="U3" s="102"/>
      <c r="V3" s="475" t="s">
        <v>120</v>
      </c>
      <c r="W3" s="475" t="s">
        <v>121</v>
      </c>
      <c r="X3" s="475" t="s">
        <v>118</v>
      </c>
      <c r="Y3" s="475" t="s">
        <v>119</v>
      </c>
    </row>
    <row r="4" spans="1:25">
      <c r="A4" s="51">
        <v>1</v>
      </c>
      <c r="B4" s="52">
        <v>12</v>
      </c>
      <c r="C4" s="53"/>
      <c r="D4" s="53"/>
      <c r="E4" s="89"/>
      <c r="F4" s="54">
        <f>SUM($B$4:E4)</f>
        <v>12</v>
      </c>
      <c r="G4" s="103">
        <f t="shared" ref="G4:G9" si="0">F4-H4</f>
        <v>8</v>
      </c>
      <c r="H4" s="54">
        <f>SUM($I$4:L4)</f>
        <v>4</v>
      </c>
      <c r="I4" s="99">
        <v>4</v>
      </c>
      <c r="J4" s="53"/>
      <c r="K4" s="53"/>
      <c r="L4" s="89"/>
      <c r="N4" s="51">
        <v>1</v>
      </c>
      <c r="O4" s="52">
        <v>12</v>
      </c>
      <c r="P4" s="53"/>
      <c r="Q4" s="53"/>
      <c r="R4" s="89"/>
      <c r="S4" s="54">
        <f>SUM($O$4:R4)</f>
        <v>12</v>
      </c>
      <c r="T4" s="103">
        <f>S4-U4</f>
        <v>5</v>
      </c>
      <c r="U4" s="54">
        <f>SUM($V$4:Y4)</f>
        <v>7</v>
      </c>
      <c r="V4" s="52">
        <v>7</v>
      </c>
      <c r="W4" s="53"/>
      <c r="X4" s="53"/>
      <c r="Y4" s="89"/>
    </row>
    <row r="5" spans="1:25">
      <c r="A5" s="56">
        <v>2</v>
      </c>
      <c r="B5" s="53"/>
      <c r="C5" s="52">
        <v>8</v>
      </c>
      <c r="D5" s="53"/>
      <c r="E5" s="53"/>
      <c r="F5" s="54">
        <f>SUM($B$4:E5)</f>
        <v>20</v>
      </c>
      <c r="G5" s="103">
        <f t="shared" si="0"/>
        <v>9</v>
      </c>
      <c r="H5" s="54">
        <f>SUM($I$4:L5)</f>
        <v>11</v>
      </c>
      <c r="I5" s="100"/>
      <c r="J5" s="52">
        <v>7</v>
      </c>
      <c r="K5" s="53"/>
      <c r="L5" s="53"/>
      <c r="N5" s="56">
        <v>2</v>
      </c>
      <c r="O5" s="53"/>
      <c r="P5" s="52" t="s">
        <v>2</v>
      </c>
      <c r="Q5" s="53"/>
      <c r="R5" s="53"/>
      <c r="S5" s="54">
        <f>SUM($O$4:R5)</f>
        <v>12</v>
      </c>
      <c r="T5" s="103">
        <f t="shared" ref="T5:T10" si="1">S5-U5</f>
        <v>-3</v>
      </c>
      <c r="U5" s="55">
        <f>SUM($V$4:Y5)</f>
        <v>15</v>
      </c>
      <c r="V5" s="53"/>
      <c r="W5" s="52">
        <v>8</v>
      </c>
      <c r="X5" s="53"/>
      <c r="Y5" s="53"/>
    </row>
    <row r="6" spans="1:25">
      <c r="A6" s="56">
        <v>3</v>
      </c>
      <c r="B6" s="52"/>
      <c r="C6" s="53"/>
      <c r="D6" s="53">
        <v>6</v>
      </c>
      <c r="E6" s="89"/>
      <c r="F6" s="54">
        <f>SUM($B$4:E6)</f>
        <v>26</v>
      </c>
      <c r="G6" s="103">
        <f t="shared" si="0"/>
        <v>10</v>
      </c>
      <c r="H6" s="54">
        <f>SUM($I$4:L6)</f>
        <v>16</v>
      </c>
      <c r="I6" s="99"/>
      <c r="J6" s="53"/>
      <c r="K6" s="53">
        <v>5</v>
      </c>
      <c r="L6" s="89"/>
      <c r="N6" s="56">
        <v>3</v>
      </c>
      <c r="O6" s="52"/>
      <c r="P6" s="53"/>
      <c r="Q6" s="53" t="s">
        <v>2</v>
      </c>
      <c r="R6" s="89"/>
      <c r="S6" s="54">
        <f>SUM($O$4:R6)</f>
        <v>12</v>
      </c>
      <c r="T6" s="103">
        <f t="shared" si="1"/>
        <v>-5</v>
      </c>
      <c r="U6" s="55">
        <f>SUM($V$4:Y6)</f>
        <v>17</v>
      </c>
      <c r="V6" s="52"/>
      <c r="W6" s="53"/>
      <c r="X6" s="53">
        <v>2</v>
      </c>
      <c r="Y6" s="89"/>
    </row>
    <row r="7" spans="1:25">
      <c r="A7" s="56">
        <v>4</v>
      </c>
      <c r="B7" s="53"/>
      <c r="C7" s="52"/>
      <c r="D7" s="53"/>
      <c r="E7" s="53">
        <v>6</v>
      </c>
      <c r="F7" s="54">
        <f>SUM($B$4:E7)</f>
        <v>32</v>
      </c>
      <c r="G7" s="103">
        <f t="shared" si="0"/>
        <v>16</v>
      </c>
      <c r="H7" s="54">
        <f>SUM($I$4:L7)</f>
        <v>16</v>
      </c>
      <c r="I7" s="100"/>
      <c r="J7" s="52"/>
      <c r="K7" s="53"/>
      <c r="L7" s="53" t="s">
        <v>2</v>
      </c>
      <c r="N7" s="56">
        <v>4</v>
      </c>
      <c r="O7" s="53"/>
      <c r="P7" s="52"/>
      <c r="Q7" s="53"/>
      <c r="R7" s="485">
        <v>3</v>
      </c>
      <c r="S7" s="54">
        <f>SUM($O$4:R7)</f>
        <v>15</v>
      </c>
      <c r="T7" s="103">
        <f t="shared" si="1"/>
        <v>-4</v>
      </c>
      <c r="U7" s="55">
        <f>SUM($V$4:Y7)</f>
        <v>19</v>
      </c>
      <c r="V7" s="53"/>
      <c r="W7" s="52"/>
      <c r="X7" s="53"/>
      <c r="Y7" s="53">
        <v>2</v>
      </c>
    </row>
    <row r="8" spans="1:25">
      <c r="A8" s="56">
        <v>5</v>
      </c>
      <c r="B8" s="52">
        <v>7</v>
      </c>
      <c r="C8" s="53"/>
      <c r="D8" s="53"/>
      <c r="E8" s="89"/>
      <c r="F8" s="54">
        <f>SUM($B$4:E8)</f>
        <v>39</v>
      </c>
      <c r="G8" s="103">
        <f t="shared" si="0"/>
        <v>15</v>
      </c>
      <c r="H8" s="54">
        <f>SUM($I$4:L8)</f>
        <v>24</v>
      </c>
      <c r="I8" s="99">
        <v>8</v>
      </c>
      <c r="J8" s="53"/>
      <c r="K8" s="53"/>
      <c r="L8" s="89"/>
      <c r="N8" s="56">
        <v>5</v>
      </c>
      <c r="O8" s="52">
        <v>2</v>
      </c>
      <c r="P8" s="53"/>
      <c r="Q8" s="53"/>
      <c r="R8" s="89"/>
      <c r="S8" s="54">
        <f>SUM($O$4:R8)</f>
        <v>17</v>
      </c>
      <c r="T8" s="103">
        <f t="shared" si="1"/>
        <v>-13</v>
      </c>
      <c r="U8" s="55">
        <f>SUM($V$4:Y8)</f>
        <v>30</v>
      </c>
      <c r="V8" s="52">
        <v>11</v>
      </c>
      <c r="W8" s="53"/>
      <c r="X8" s="53"/>
      <c r="Y8" s="89"/>
    </row>
    <row r="9" spans="1:25">
      <c r="A9" s="56">
        <v>6</v>
      </c>
      <c r="B9" s="53"/>
      <c r="C9" s="53">
        <v>11</v>
      </c>
      <c r="D9" s="53"/>
      <c r="E9" s="53"/>
      <c r="F9" s="54">
        <f>SUM($B$4:E9)</f>
        <v>50</v>
      </c>
      <c r="G9" s="103">
        <f t="shared" si="0"/>
        <v>26</v>
      </c>
      <c r="H9" s="54">
        <f>SUM($I$4:L9)</f>
        <v>24</v>
      </c>
      <c r="I9" s="100"/>
      <c r="J9" s="52"/>
      <c r="K9" s="53"/>
      <c r="L9" s="53"/>
      <c r="N9" s="56">
        <v>6</v>
      </c>
      <c r="O9" s="53"/>
      <c r="P9" s="52">
        <v>6</v>
      </c>
      <c r="Q9" s="53"/>
      <c r="R9" s="53"/>
      <c r="S9" s="54">
        <f>SUM($O$4:R9)</f>
        <v>23</v>
      </c>
      <c r="T9" s="103">
        <f t="shared" si="1"/>
        <v>-12</v>
      </c>
      <c r="U9" s="55">
        <f>SUM($V$4:Y9)</f>
        <v>35</v>
      </c>
      <c r="V9" s="53"/>
      <c r="W9" s="52">
        <v>5</v>
      </c>
      <c r="X9" s="53"/>
      <c r="Y9" s="53"/>
    </row>
    <row r="10" spans="1:25">
      <c r="A10" s="91"/>
      <c r="B10" s="97"/>
      <c r="C10" s="41"/>
      <c r="D10" s="97"/>
      <c r="E10" s="97"/>
      <c r="F10" s="96"/>
      <c r="G10" s="102"/>
      <c r="H10" s="96"/>
      <c r="I10" s="97"/>
      <c r="J10" s="41"/>
      <c r="K10" s="97"/>
      <c r="L10" s="97"/>
      <c r="N10" s="56">
        <v>7</v>
      </c>
      <c r="O10" s="52"/>
      <c r="P10" s="53"/>
      <c r="Q10" s="53">
        <v>2</v>
      </c>
      <c r="R10" s="89"/>
      <c r="S10" s="54">
        <f>SUM($O$4:R10)</f>
        <v>25</v>
      </c>
      <c r="T10" s="103">
        <f t="shared" si="1"/>
        <v>-13</v>
      </c>
      <c r="U10" s="55">
        <f>SUM($V$4:Y10)</f>
        <v>38</v>
      </c>
      <c r="V10" s="52"/>
      <c r="W10" s="53"/>
      <c r="X10" s="53">
        <v>3</v>
      </c>
      <c r="Y10" s="89"/>
    </row>
    <row r="11" spans="1:25">
      <c r="A11" s="91"/>
      <c r="B11" s="97"/>
      <c r="C11" s="41"/>
      <c r="D11" s="97"/>
      <c r="E11" s="97"/>
      <c r="F11" s="96"/>
      <c r="G11" s="102"/>
      <c r="H11" s="96"/>
      <c r="I11" s="97"/>
      <c r="J11" s="41"/>
      <c r="K11" s="97"/>
      <c r="L11" s="97"/>
      <c r="N11" s="51">
        <v>8</v>
      </c>
      <c r="O11" s="52"/>
      <c r="P11" s="53"/>
      <c r="Q11" s="53"/>
      <c r="R11" s="89">
        <v>2</v>
      </c>
      <c r="S11" s="54">
        <f>SUM($O$4:R11)</f>
        <v>27</v>
      </c>
      <c r="T11" s="103">
        <f>S11-U11</f>
        <v>-23</v>
      </c>
      <c r="U11" s="54">
        <f>SUM($V$4:Y11)</f>
        <v>50</v>
      </c>
      <c r="V11" s="52"/>
      <c r="W11" s="53"/>
      <c r="X11" s="53"/>
      <c r="Y11" s="89">
        <v>12</v>
      </c>
    </row>
    <row r="12" spans="1:25">
      <c r="C12" s="59"/>
      <c r="F12" s="59"/>
      <c r="I12" s="58"/>
      <c r="J12" s="59"/>
      <c r="K12" s="58"/>
      <c r="L12" s="59"/>
      <c r="P12" s="59"/>
      <c r="V12" s="58"/>
      <c r="W12" s="59"/>
      <c r="X12" s="58"/>
      <c r="Y12" s="59"/>
    </row>
    <row r="13" spans="1:25" ht="15">
      <c r="A13" s="64" t="s">
        <v>3</v>
      </c>
      <c r="B13" s="52">
        <f>SUM(B4:B12)</f>
        <v>19</v>
      </c>
      <c r="C13" s="52">
        <f>SUM(C4:C12)</f>
        <v>19</v>
      </c>
      <c r="D13" s="65">
        <f>SUM(D4:D12)</f>
        <v>6</v>
      </c>
      <c r="E13" s="52">
        <f>SUM(E4:E12)</f>
        <v>6</v>
      </c>
      <c r="F13" s="66">
        <f>MAX(F4:F11)</f>
        <v>50</v>
      </c>
      <c r="H13" s="66">
        <f>MAX(H4:H11)</f>
        <v>24</v>
      </c>
      <c r="I13" s="52">
        <f>SUM(I4:I12)</f>
        <v>12</v>
      </c>
      <c r="J13" s="52">
        <f>SUM(J4:J12)</f>
        <v>7</v>
      </c>
      <c r="K13" s="52">
        <f>SUM(K4:K12)</f>
        <v>5</v>
      </c>
      <c r="L13" s="52">
        <f>SUM(L4:L12)</f>
        <v>0</v>
      </c>
      <c r="N13" s="64" t="s">
        <v>3</v>
      </c>
      <c r="O13" s="52">
        <f>SUM(O4:O12)</f>
        <v>14</v>
      </c>
      <c r="P13" s="52">
        <f>SUM(P4:P12)</f>
        <v>6</v>
      </c>
      <c r="Q13" s="52">
        <f>SUM(Q4:Q12)</f>
        <v>2</v>
      </c>
      <c r="R13" s="52">
        <f>SUM(R4:R12)</f>
        <v>5</v>
      </c>
      <c r="S13" s="66">
        <f>MAX(S4:S11)</f>
        <v>27</v>
      </c>
      <c r="U13" s="66">
        <f>MAX(U4:U11)</f>
        <v>50</v>
      </c>
      <c r="V13" s="52">
        <f>SUM(V4:V12)</f>
        <v>18</v>
      </c>
      <c r="W13" s="52">
        <f>SUM(W4:W12)</f>
        <v>13</v>
      </c>
      <c r="X13" s="65">
        <f>SUM(X4:X12)</f>
        <v>5</v>
      </c>
      <c r="Y13" s="52">
        <f>SUM(Y4:Y12)</f>
        <v>14</v>
      </c>
    </row>
    <row r="14" spans="1:25" ht="15">
      <c r="A14" s="67" t="s">
        <v>4</v>
      </c>
      <c r="B14" s="53">
        <f>COUNTA(B4:B12)</f>
        <v>2</v>
      </c>
      <c r="C14" s="53">
        <f>COUNTA(C4:C12)</f>
        <v>2</v>
      </c>
      <c r="D14" s="53">
        <f>COUNTA(D4:D12)</f>
        <v>1</v>
      </c>
      <c r="E14" s="53">
        <f>COUNTA(E4:E12)</f>
        <v>1</v>
      </c>
      <c r="F14" s="66">
        <f>SUM(B14:E14)</f>
        <v>6</v>
      </c>
      <c r="H14" s="66">
        <f>SUM(I14:L14)</f>
        <v>5</v>
      </c>
      <c r="I14" s="53">
        <f>COUNTA(I4:I12)</f>
        <v>2</v>
      </c>
      <c r="J14" s="53">
        <f>COUNTA(J4:J12)</f>
        <v>1</v>
      </c>
      <c r="K14" s="53">
        <f>COUNTA(K4:K12)</f>
        <v>1</v>
      </c>
      <c r="L14" s="53">
        <f>COUNTA(L4:L12)</f>
        <v>1</v>
      </c>
      <c r="N14" s="67" t="s">
        <v>4</v>
      </c>
      <c r="O14" s="53">
        <f>COUNTA(O4:O12)</f>
        <v>2</v>
      </c>
      <c r="P14" s="53">
        <f>COUNTA(P4:P12)</f>
        <v>2</v>
      </c>
      <c r="Q14" s="53">
        <f>COUNTA(Q4:Q12)</f>
        <v>2</v>
      </c>
      <c r="R14" s="53">
        <f>COUNTA(R4:R12)</f>
        <v>2</v>
      </c>
      <c r="S14" s="66">
        <f>SUM(O14:R14)</f>
        <v>8</v>
      </c>
      <c r="U14" s="66">
        <f>SUM(V14:Y14)</f>
        <v>8</v>
      </c>
      <c r="V14" s="53">
        <f>COUNTA(V4:V12)</f>
        <v>2</v>
      </c>
      <c r="W14" s="53">
        <f>COUNTA(W4:W12)</f>
        <v>2</v>
      </c>
      <c r="X14" s="53">
        <f>COUNTA(X4:X12)</f>
        <v>2</v>
      </c>
      <c r="Y14" s="53">
        <f>COUNTA(Y4:Y12)</f>
        <v>2</v>
      </c>
    </row>
    <row r="15" spans="1:25" ht="15">
      <c r="A15" s="64" t="s">
        <v>6</v>
      </c>
      <c r="B15" s="52">
        <f>B14-COUNT(B4:B12)</f>
        <v>0</v>
      </c>
      <c r="C15" s="52">
        <f>C14-COUNT(C4:C12)</f>
        <v>0</v>
      </c>
      <c r="D15" s="52">
        <f>D14-COUNT(D4:D12)</f>
        <v>0</v>
      </c>
      <c r="E15" s="52">
        <f>E14-COUNT(E4:E12)</f>
        <v>0</v>
      </c>
      <c r="F15" s="66">
        <f>SUM(B15:E15)</f>
        <v>0</v>
      </c>
      <c r="H15" s="66">
        <f>SUM(I15:L15)</f>
        <v>1</v>
      </c>
      <c r="I15" s="52">
        <f>I14-COUNT(I4:I12)</f>
        <v>0</v>
      </c>
      <c r="J15" s="52">
        <f>J14-COUNT(J4:J12)</f>
        <v>0</v>
      </c>
      <c r="K15" s="52">
        <f>K14-COUNT(K4:K12)</f>
        <v>0</v>
      </c>
      <c r="L15" s="52">
        <f>L14-COUNT(L4:L12)</f>
        <v>1</v>
      </c>
      <c r="N15" s="64" t="s">
        <v>6</v>
      </c>
      <c r="O15" s="52">
        <f>O14-COUNT(O4:O12)</f>
        <v>0</v>
      </c>
      <c r="P15" s="52">
        <f>P14-COUNT(P4:P12)</f>
        <v>1</v>
      </c>
      <c r="Q15" s="52">
        <f>Q14-COUNT(Q4:Q12)</f>
        <v>1</v>
      </c>
      <c r="R15" s="52">
        <f>R14-COUNT(R4:R12)</f>
        <v>0</v>
      </c>
      <c r="S15" s="66">
        <f>SUM(O15:R15)</f>
        <v>2</v>
      </c>
      <c r="U15" s="66">
        <f>SUM(V15:Y15)</f>
        <v>0</v>
      </c>
      <c r="V15" s="52">
        <f>V14-COUNT(V4:V12)</f>
        <v>0</v>
      </c>
      <c r="W15" s="52">
        <f>W14-COUNT(W4:W12)</f>
        <v>0</v>
      </c>
      <c r="X15" s="65">
        <f>X14-COUNT(X4:X12)</f>
        <v>0</v>
      </c>
      <c r="Y15" s="52">
        <f>Y14-COUNT(Y4:Y12)</f>
        <v>0</v>
      </c>
    </row>
    <row r="16" spans="1:25" ht="15">
      <c r="A16" s="64" t="s">
        <v>12</v>
      </c>
      <c r="B16" s="72">
        <f>B15/B14</f>
        <v>0</v>
      </c>
      <c r="C16" s="72">
        <f>C15/C14</f>
        <v>0</v>
      </c>
      <c r="D16" s="72">
        <f>D15/D14</f>
        <v>0</v>
      </c>
      <c r="E16" s="72">
        <f>E15/E14</f>
        <v>0</v>
      </c>
      <c r="F16" s="74">
        <f>F15/F14</f>
        <v>0</v>
      </c>
      <c r="H16" s="74">
        <f>H15/H14</f>
        <v>0.2</v>
      </c>
      <c r="I16" s="72">
        <f>I15/I14</f>
        <v>0</v>
      </c>
      <c r="J16" s="72">
        <f>J15/J14</f>
        <v>0</v>
      </c>
      <c r="K16" s="72">
        <f>K15/K14</f>
        <v>0</v>
      </c>
      <c r="L16" s="72">
        <f>L15/L14</f>
        <v>1</v>
      </c>
      <c r="N16" s="64" t="s">
        <v>12</v>
      </c>
      <c r="O16" s="75">
        <f>O15/O14</f>
        <v>0</v>
      </c>
      <c r="P16" s="72">
        <f>P15/P14</f>
        <v>0.5</v>
      </c>
      <c r="Q16" s="72">
        <f>Q15/Q14</f>
        <v>0.5</v>
      </c>
      <c r="R16" s="72">
        <f>R15/R14</f>
        <v>0</v>
      </c>
      <c r="S16" s="74">
        <f>S15/S14</f>
        <v>0.25</v>
      </c>
      <c r="U16" s="74">
        <f>U15/U14</f>
        <v>0</v>
      </c>
      <c r="V16" s="72">
        <f>V15/V14</f>
        <v>0</v>
      </c>
      <c r="W16" s="72">
        <f>W15/W14</f>
        <v>0</v>
      </c>
      <c r="X16" s="73">
        <f>X15/X14</f>
        <v>0</v>
      </c>
      <c r="Y16" s="72">
        <f>Y15/Y14</f>
        <v>0</v>
      </c>
    </row>
    <row r="17" spans="1:25" ht="15">
      <c r="A17" s="64" t="s">
        <v>5</v>
      </c>
      <c r="B17" s="79">
        <f>B13/B14</f>
        <v>9.5</v>
      </c>
      <c r="C17" s="80">
        <f>C13/C14</f>
        <v>9.5</v>
      </c>
      <c r="D17" s="79">
        <f>D13/D14</f>
        <v>6</v>
      </c>
      <c r="E17" s="79">
        <f>E13/E14</f>
        <v>6</v>
      </c>
      <c r="F17" s="81">
        <f>F13/F14</f>
        <v>8.3333333333333339</v>
      </c>
      <c r="H17" s="81">
        <f>H13/H14</f>
        <v>4.8</v>
      </c>
      <c r="I17" s="79">
        <f>I13/I14</f>
        <v>6</v>
      </c>
      <c r="J17" s="79">
        <f>J13/J14</f>
        <v>7</v>
      </c>
      <c r="K17" s="79">
        <f>K13/K14</f>
        <v>5</v>
      </c>
      <c r="L17" s="79">
        <f>L13/L14</f>
        <v>0</v>
      </c>
      <c r="N17" s="64" t="s">
        <v>5</v>
      </c>
      <c r="O17" s="79">
        <f>O13/O14</f>
        <v>7</v>
      </c>
      <c r="P17" s="79">
        <f>P13/P14</f>
        <v>3</v>
      </c>
      <c r="Q17" s="79">
        <f>Q13/Q14</f>
        <v>1</v>
      </c>
      <c r="R17" s="79">
        <f>R13/R14</f>
        <v>2.5</v>
      </c>
      <c r="S17" s="81">
        <f>S13/S14</f>
        <v>3.375</v>
      </c>
      <c r="U17" s="81">
        <f>U13/U14</f>
        <v>6.25</v>
      </c>
      <c r="V17" s="79">
        <f>V13/V14</f>
        <v>9</v>
      </c>
      <c r="W17" s="79">
        <f>W13/W14</f>
        <v>6.5</v>
      </c>
      <c r="X17" s="80">
        <f>X13/X14</f>
        <v>2.5</v>
      </c>
      <c r="Y17" s="79">
        <f>Y13/Y14</f>
        <v>7</v>
      </c>
    </row>
    <row r="18" spans="1:25" ht="15">
      <c r="A18" s="64" t="s">
        <v>8</v>
      </c>
      <c r="B18" s="79">
        <f>B13/(B14-B15)</f>
        <v>9.5</v>
      </c>
      <c r="C18" s="80">
        <f>C13/(C14-C15)</f>
        <v>9.5</v>
      </c>
      <c r="D18" s="84">
        <f>D13/(D14-D15)</f>
        <v>6</v>
      </c>
      <c r="E18" s="84">
        <f>E13/(E14-E15)</f>
        <v>6</v>
      </c>
      <c r="F18" s="85">
        <f>F13/(F14-F15)</f>
        <v>8.3333333333333339</v>
      </c>
      <c r="H18" s="85">
        <f>H13/(H14-H15)</f>
        <v>6</v>
      </c>
      <c r="I18" s="84">
        <f>I13/(I14-I15)</f>
        <v>6</v>
      </c>
      <c r="J18" s="84">
        <f>J13/(J14-J15)</f>
        <v>7</v>
      </c>
      <c r="K18" s="84">
        <f>K13/(K14-K15)</f>
        <v>5</v>
      </c>
      <c r="L18" s="660">
        <v>0</v>
      </c>
      <c r="N18" s="64" t="s">
        <v>8</v>
      </c>
      <c r="O18" s="84">
        <f>O13/(O14-O15)</f>
        <v>7</v>
      </c>
      <c r="P18" s="84">
        <f>P13/(P14-P15)</f>
        <v>6</v>
      </c>
      <c r="Q18" s="84">
        <f>Q13/(Q14-Q15)</f>
        <v>2</v>
      </c>
      <c r="R18" s="84">
        <f>R13/(R14-R15)</f>
        <v>2.5</v>
      </c>
      <c r="S18" s="85">
        <f>S13/(S14-S15)</f>
        <v>4.5</v>
      </c>
      <c r="U18" s="85">
        <f>U13/(U14-U15)</f>
        <v>6.25</v>
      </c>
      <c r="V18" s="84">
        <f>V13/(V14-V15)</f>
        <v>9</v>
      </c>
      <c r="W18" s="80">
        <f>W13/(W14-W15)</f>
        <v>6.5</v>
      </c>
      <c r="X18" s="84">
        <f>X13/(X14-X15)</f>
        <v>2.5</v>
      </c>
      <c r="Y18" s="79">
        <f>Y13/(Y14-Y15)</f>
        <v>7</v>
      </c>
    </row>
    <row r="19" spans="1:25">
      <c r="C19" s="59"/>
      <c r="P19" s="59"/>
    </row>
    <row r="20" spans="1:25">
      <c r="C20" s="59"/>
      <c r="P20" s="59"/>
    </row>
    <row r="21" spans="1:25">
      <c r="C21" s="59"/>
      <c r="P21" s="59"/>
      <c r="U21" s="102"/>
    </row>
    <row r="22" spans="1:25">
      <c r="C22" s="59"/>
      <c r="P22" s="59"/>
    </row>
    <row r="23" spans="1:25">
      <c r="C23" s="59"/>
      <c r="P23" s="59"/>
    </row>
    <row r="24" spans="1:25">
      <c r="C24" s="59"/>
      <c r="P24" s="59"/>
    </row>
    <row r="25" spans="1:25">
      <c r="C25" s="59"/>
      <c r="P25" s="59"/>
    </row>
    <row r="26" spans="1:25">
      <c r="C26" s="59"/>
      <c r="P26" s="59"/>
    </row>
    <row r="27" spans="1:25">
      <c r="C27" s="59"/>
      <c r="P27" s="59"/>
    </row>
    <row r="28" spans="1:25">
      <c r="C28" s="59"/>
      <c r="P28" s="59"/>
    </row>
    <row r="29" spans="1:25">
      <c r="C29" s="59"/>
      <c r="P29" s="59"/>
    </row>
    <row r="30" spans="1:25">
      <c r="C30" s="59"/>
      <c r="P30" s="59"/>
    </row>
  </sheetData>
  <mergeCells count="4">
    <mergeCell ref="B1:E1"/>
    <mergeCell ref="I1:L1"/>
    <mergeCell ref="O1:R1"/>
    <mergeCell ref="V1:Y1"/>
  </mergeCells>
  <conditionalFormatting sqref="S4:S11">
    <cfRule type="cellIs" dxfId="159" priority="7" operator="lessThan">
      <formula>U4</formula>
    </cfRule>
    <cfRule type="cellIs" dxfId="158" priority="8" operator="greaterThanOrEqual">
      <formula>U4</formula>
    </cfRule>
  </conditionalFormatting>
  <conditionalFormatting sqref="U4:U11">
    <cfRule type="cellIs" dxfId="157" priority="5" operator="lessThan">
      <formula>S4</formula>
    </cfRule>
    <cfRule type="cellIs" dxfId="156" priority="6" operator="greaterThanOrEqual">
      <formula>S4</formula>
    </cfRule>
  </conditionalFormatting>
  <conditionalFormatting sqref="F4:F9">
    <cfRule type="cellIs" dxfId="155" priority="3" operator="lessThan">
      <formula>H4</formula>
    </cfRule>
    <cfRule type="cellIs" dxfId="154" priority="4" operator="greaterThanOrEqual">
      <formula>H4</formula>
    </cfRule>
  </conditionalFormatting>
  <conditionalFormatting sqref="H4:H9">
    <cfRule type="cellIs" dxfId="153" priority="1" operator="lessThan">
      <formula>F4</formula>
    </cfRule>
    <cfRule type="cellIs" dxfId="152" priority="2" operator="greaterThanOrEqual">
      <formula>F4</formula>
    </cfRule>
  </conditionalFormatting>
  <pageMargins left="0.70866141732283472" right="0.70866141732283472" top="0.78740157480314965" bottom="0.78740157480314965" header="0.31496062992125984" footer="0.31496062992125984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M135"/>
  <sheetViews>
    <sheetView zoomScale="70" zoomScaleNormal="70" zoomScaleSheetLayoutView="25" workbookViewId="0">
      <selection activeCell="A2" sqref="A2"/>
    </sheetView>
  </sheetViews>
  <sheetFormatPr baseColWidth="10" defaultRowHeight="15"/>
  <cols>
    <col min="1" max="1" width="15.85546875" style="581" bestFit="1" customWidth="1"/>
    <col min="2" max="4" width="6.7109375" style="582" customWidth="1"/>
    <col min="5" max="5" width="6.7109375" style="583" customWidth="1"/>
    <col min="6" max="6" width="6.7109375" style="583" bestFit="1" customWidth="1"/>
    <col min="7" max="7" width="4.7109375" style="502" customWidth="1"/>
    <col min="8" max="8" width="6.7109375" style="502" bestFit="1" customWidth="1"/>
    <col min="9" max="12" width="6.7109375" style="502" customWidth="1"/>
    <col min="13" max="13" width="4.7109375" style="111" customWidth="1"/>
    <col min="14" max="14" width="15.85546875" style="581" bestFit="1" customWidth="1"/>
    <col min="15" max="17" width="6.7109375" style="582" customWidth="1"/>
    <col min="18" max="18" width="6.7109375" style="583" customWidth="1"/>
    <col min="19" max="19" width="6.7109375" style="502" bestFit="1" customWidth="1"/>
    <col min="20" max="20" width="5.42578125" style="502" customWidth="1"/>
    <col min="21" max="21" width="6.7109375" style="502" bestFit="1" customWidth="1"/>
    <col min="22" max="25" width="6.7109375" style="502" customWidth="1"/>
    <col min="26" max="26" width="4.7109375" style="111" customWidth="1"/>
    <col min="27" max="27" width="15.85546875" style="581" bestFit="1" customWidth="1"/>
    <col min="28" max="30" width="6.7109375" style="582" customWidth="1"/>
    <col min="31" max="31" width="6.7109375" style="583" customWidth="1"/>
    <col min="32" max="32" width="6.7109375" style="583" bestFit="1" customWidth="1"/>
    <col min="33" max="33" width="5.28515625" style="502" bestFit="1" customWidth="1"/>
    <col min="34" max="34" width="6.7109375" style="502" bestFit="1" customWidth="1"/>
    <col min="35" max="38" width="6.7109375" style="502" customWidth="1"/>
    <col min="39" max="39" width="4.7109375" style="111" customWidth="1"/>
    <col min="40" max="40" width="15.85546875" style="581" bestFit="1" customWidth="1"/>
    <col min="41" max="43" width="6.7109375" style="582" customWidth="1"/>
    <col min="44" max="44" width="6.7109375" style="583" customWidth="1"/>
    <col min="45" max="45" width="6.7109375" style="502" bestFit="1" customWidth="1"/>
    <col min="46" max="46" width="5.42578125" style="502" customWidth="1"/>
    <col min="47" max="47" width="6.7109375" style="502" bestFit="1" customWidth="1"/>
    <col min="48" max="51" width="6.7109375" style="502" customWidth="1"/>
    <col min="52" max="52" width="4.7109375" style="111" customWidth="1"/>
    <col min="53" max="53" width="11.42578125" style="502"/>
    <col min="54" max="64" width="6.7109375" style="502" customWidth="1"/>
    <col min="65" max="65" width="4.85546875" style="502" customWidth="1"/>
    <col min="66" max="16384" width="11.42578125" style="502"/>
  </cols>
  <sheetData>
    <row r="1" spans="1:52" s="111" customFormat="1">
      <c r="A1" s="109"/>
      <c r="B1" s="110"/>
      <c r="C1" s="110"/>
      <c r="D1" s="110"/>
      <c r="E1" s="580"/>
      <c r="F1" s="580"/>
      <c r="N1" s="109"/>
      <c r="O1" s="110"/>
      <c r="P1" s="110"/>
      <c r="Q1" s="110"/>
      <c r="R1" s="580"/>
      <c r="AA1" s="109"/>
      <c r="AB1" s="110"/>
      <c r="AC1" s="110"/>
      <c r="AD1" s="110"/>
      <c r="AE1" s="580"/>
      <c r="AF1" s="580"/>
      <c r="AN1" s="109"/>
      <c r="AO1" s="110"/>
      <c r="AP1" s="110"/>
      <c r="AQ1" s="110"/>
      <c r="AR1" s="580"/>
    </row>
    <row r="2" spans="1:52" ht="15.75">
      <c r="B2" s="1544" t="s">
        <v>92</v>
      </c>
      <c r="C2" s="1544"/>
      <c r="D2" s="1544"/>
      <c r="E2" s="1544"/>
      <c r="I2" s="1543" t="s">
        <v>97</v>
      </c>
      <c r="J2" s="1543"/>
      <c r="K2" s="1543"/>
      <c r="L2" s="1543"/>
      <c r="O2" s="1544" t="s">
        <v>97</v>
      </c>
      <c r="P2" s="1544"/>
      <c r="Q2" s="1544"/>
      <c r="R2" s="1544"/>
      <c r="V2" s="1543" t="s">
        <v>92</v>
      </c>
      <c r="W2" s="1543"/>
      <c r="X2" s="1543"/>
      <c r="Y2" s="1543"/>
      <c r="AB2" s="1543" t="s">
        <v>92</v>
      </c>
      <c r="AC2" s="1543"/>
      <c r="AD2" s="1543"/>
      <c r="AE2" s="1543"/>
      <c r="AI2" s="1544" t="s">
        <v>97</v>
      </c>
      <c r="AJ2" s="1544"/>
      <c r="AK2" s="1544"/>
      <c r="AL2" s="1544"/>
      <c r="AO2" s="1544" t="s">
        <v>97</v>
      </c>
      <c r="AP2" s="1544"/>
      <c r="AQ2" s="1544"/>
      <c r="AR2" s="1544"/>
      <c r="AV2" s="1543" t="s">
        <v>92</v>
      </c>
      <c r="AW2" s="1543"/>
      <c r="AX2" s="1543"/>
      <c r="AY2" s="1543"/>
    </row>
    <row r="3" spans="1:52" ht="15.75">
      <c r="B3" s="588">
        <v>1</v>
      </c>
      <c r="C3" s="589">
        <v>2</v>
      </c>
      <c r="D3" s="590">
        <v>3</v>
      </c>
      <c r="E3" s="874">
        <v>4</v>
      </c>
      <c r="F3" s="113">
        <f>IF(COUNTIF(F5:F21,"&gt;37")=0,0,COUNTIF(F5:F21,"&gt;37")-1)</f>
        <v>1</v>
      </c>
      <c r="H3" s="113">
        <f>IF(COUNTIF(H5:H21,"&gt;37")=0,0,COUNTIF(H5:H21,"&gt;37")-1)</f>
        <v>0</v>
      </c>
      <c r="I3" s="934">
        <v>1</v>
      </c>
      <c r="J3" s="935">
        <v>2</v>
      </c>
      <c r="K3" s="936">
        <v>3</v>
      </c>
      <c r="L3" s="937">
        <v>4</v>
      </c>
      <c r="O3" s="588">
        <v>1</v>
      </c>
      <c r="P3" s="589">
        <v>2</v>
      </c>
      <c r="Q3" s="590">
        <v>3</v>
      </c>
      <c r="R3" s="874">
        <v>4</v>
      </c>
      <c r="S3" s="113">
        <f>IF(COUNTIF(S5:S19,"&gt;37")=0,0,COUNTIF(S5:S19,"&gt;37")-1)</f>
        <v>3</v>
      </c>
      <c r="U3" s="113">
        <f>IF(COUNTIF(U5:U19,"&gt;37")=0,0,COUNTIF(U5:U19,"&gt;37")-1)</f>
        <v>0</v>
      </c>
      <c r="V3" s="934">
        <v>1</v>
      </c>
      <c r="W3" s="935">
        <v>2</v>
      </c>
      <c r="X3" s="936">
        <v>3</v>
      </c>
      <c r="Y3" s="937">
        <v>4</v>
      </c>
      <c r="AB3" s="934">
        <v>1</v>
      </c>
      <c r="AC3" s="935">
        <v>2</v>
      </c>
      <c r="AD3" s="936">
        <v>3</v>
      </c>
      <c r="AE3" s="937">
        <v>4</v>
      </c>
      <c r="AF3" s="113">
        <f>IF(COUNTIF(AF5:AF21,"&gt;37")=0,0,COUNTIF(AF5:AF21,"&gt;37")-1)</f>
        <v>6</v>
      </c>
      <c r="AH3" s="113">
        <f>IF(COUNTIF(AH5:AH21,"&gt;37")=0,0,COUNTIF(AH5:AH21,"&gt;37")-1)</f>
        <v>4</v>
      </c>
      <c r="AI3" s="588">
        <v>1</v>
      </c>
      <c r="AJ3" s="589">
        <v>2</v>
      </c>
      <c r="AK3" s="590">
        <v>3</v>
      </c>
      <c r="AL3" s="874">
        <v>4</v>
      </c>
      <c r="AO3" s="588">
        <v>1</v>
      </c>
      <c r="AP3" s="589">
        <v>2</v>
      </c>
      <c r="AQ3" s="590">
        <v>3</v>
      </c>
      <c r="AR3" s="874">
        <v>4</v>
      </c>
      <c r="AS3" s="113">
        <f>IF(COUNTIF(AS5:AS19,"&gt;37")=0,0,COUNTIF(AS5:AS19,"&gt;37")-1)</f>
        <v>3</v>
      </c>
      <c r="AU3" s="918">
        <v>0</v>
      </c>
      <c r="AV3" s="934">
        <v>1</v>
      </c>
      <c r="AW3" s="935">
        <v>2</v>
      </c>
      <c r="AX3" s="936">
        <v>3</v>
      </c>
      <c r="AY3" s="937">
        <v>4</v>
      </c>
    </row>
    <row r="4" spans="1:52" s="596" customFormat="1" ht="44.25">
      <c r="A4" s="591"/>
      <c r="B4" s="940" t="s">
        <v>93</v>
      </c>
      <c r="C4" s="941" t="s">
        <v>94</v>
      </c>
      <c r="D4" s="594" t="s">
        <v>95</v>
      </c>
      <c r="E4" s="942" t="s">
        <v>96</v>
      </c>
      <c r="F4" s="928"/>
      <c r="G4" s="593"/>
      <c r="I4" s="938" t="s">
        <v>53</v>
      </c>
      <c r="J4" s="939" t="s">
        <v>0</v>
      </c>
      <c r="K4" s="939" t="s">
        <v>56</v>
      </c>
      <c r="L4" s="943" t="s">
        <v>1</v>
      </c>
      <c r="M4" s="641"/>
      <c r="N4" s="591"/>
      <c r="O4" s="940" t="s">
        <v>0</v>
      </c>
      <c r="P4" s="941" t="s">
        <v>56</v>
      </c>
      <c r="Q4" s="594" t="s">
        <v>1</v>
      </c>
      <c r="R4" s="942" t="s">
        <v>53</v>
      </c>
      <c r="S4" s="593"/>
      <c r="T4" s="593"/>
      <c r="U4" s="593"/>
      <c r="V4" s="938" t="s">
        <v>93</v>
      </c>
      <c r="W4" s="939" t="s">
        <v>94</v>
      </c>
      <c r="X4" s="939" t="s">
        <v>95</v>
      </c>
      <c r="Y4" s="943" t="s">
        <v>96</v>
      </c>
      <c r="Z4" s="641"/>
      <c r="AA4" s="591"/>
      <c r="AB4" s="938" t="s">
        <v>93</v>
      </c>
      <c r="AC4" s="939" t="s">
        <v>94</v>
      </c>
      <c r="AD4" s="939" t="s">
        <v>95</v>
      </c>
      <c r="AE4" s="943" t="s">
        <v>96</v>
      </c>
      <c r="AF4" s="928"/>
      <c r="AG4" s="593"/>
      <c r="AI4" s="940" t="s">
        <v>53</v>
      </c>
      <c r="AJ4" s="941" t="s">
        <v>0</v>
      </c>
      <c r="AK4" s="594" t="s">
        <v>56</v>
      </c>
      <c r="AL4" s="942" t="s">
        <v>1</v>
      </c>
      <c r="AM4" s="641"/>
      <c r="AN4" s="591"/>
      <c r="AO4" s="940" t="s">
        <v>0</v>
      </c>
      <c r="AP4" s="941" t="s">
        <v>56</v>
      </c>
      <c r="AQ4" s="594" t="s">
        <v>1</v>
      </c>
      <c r="AR4" s="942" t="s">
        <v>53</v>
      </c>
      <c r="AS4" s="593"/>
      <c r="AT4" s="593"/>
      <c r="AU4" s="593"/>
      <c r="AV4" s="938" t="s">
        <v>93</v>
      </c>
      <c r="AW4" s="939" t="s">
        <v>94</v>
      </c>
      <c r="AX4" s="939" t="s">
        <v>95</v>
      </c>
      <c r="AY4" s="943" t="s">
        <v>96</v>
      </c>
      <c r="AZ4" s="641"/>
    </row>
    <row r="5" spans="1:52" ht="15.75">
      <c r="A5" s="118">
        <v>1</v>
      </c>
      <c r="B5" s="108">
        <v>11</v>
      </c>
      <c r="C5" s="117"/>
      <c r="D5" s="117"/>
      <c r="E5" s="119"/>
      <c r="F5" s="120">
        <f>SUM($B5:E$5)</f>
        <v>11</v>
      </c>
      <c r="G5" s="944">
        <f>F5-H5</f>
        <v>8</v>
      </c>
      <c r="H5" s="120">
        <f>SUM($I5:L$5)</f>
        <v>3</v>
      </c>
      <c r="I5" s="121">
        <v>3</v>
      </c>
      <c r="J5" s="117"/>
      <c r="K5" s="117"/>
      <c r="L5" s="107"/>
      <c r="N5" s="118">
        <v>1</v>
      </c>
      <c r="O5" s="108">
        <v>12</v>
      </c>
      <c r="P5" s="117"/>
      <c r="Q5" s="117"/>
      <c r="R5" s="119"/>
      <c r="S5" s="120">
        <f>SUM($O5:R$5)</f>
        <v>12</v>
      </c>
      <c r="T5" s="944">
        <f>S5-U5</f>
        <v>3</v>
      </c>
      <c r="U5" s="120">
        <f>SUM($V5:Y$5)</f>
        <v>9</v>
      </c>
      <c r="V5" s="121">
        <v>9</v>
      </c>
      <c r="W5" s="117"/>
      <c r="X5" s="117"/>
      <c r="Y5" s="107"/>
      <c r="AA5" s="118">
        <v>1</v>
      </c>
      <c r="AB5" s="108">
        <v>5</v>
      </c>
      <c r="AC5" s="117"/>
      <c r="AD5" s="117"/>
      <c r="AE5" s="119"/>
      <c r="AF5" s="120">
        <f>SUM($AB5:AE$5)</f>
        <v>5</v>
      </c>
      <c r="AG5" s="944">
        <f>AF5-AH5</f>
        <v>1</v>
      </c>
      <c r="AH5" s="120">
        <f>SUM($AI5:AL$5)</f>
        <v>4</v>
      </c>
      <c r="AI5" s="121">
        <v>4</v>
      </c>
      <c r="AJ5" s="117"/>
      <c r="AK5" s="117"/>
      <c r="AL5" s="107"/>
      <c r="AN5" s="118">
        <v>1</v>
      </c>
      <c r="AO5" s="108">
        <v>12</v>
      </c>
      <c r="AP5" s="117"/>
      <c r="AQ5" s="117"/>
      <c r="AR5" s="119"/>
      <c r="AS5" s="120">
        <f>SUM($AO5:AR$5)</f>
        <v>12</v>
      </c>
      <c r="AT5" s="944">
        <f>AS5-AU5</f>
        <v>4</v>
      </c>
      <c r="AU5" s="120">
        <f>SUM($AV5:AY$5)</f>
        <v>8</v>
      </c>
      <c r="AV5" s="121">
        <v>8</v>
      </c>
      <c r="AW5" s="117"/>
      <c r="AX5" s="117"/>
      <c r="AY5" s="107"/>
    </row>
    <row r="6" spans="1:52" ht="15.75">
      <c r="A6" s="122">
        <v>2</v>
      </c>
      <c r="B6" s="117"/>
      <c r="C6" s="108">
        <v>9</v>
      </c>
      <c r="D6" s="117"/>
      <c r="E6" s="114"/>
      <c r="F6" s="120">
        <f>SUM($B$5:E6)</f>
        <v>20</v>
      </c>
      <c r="G6" s="944">
        <f t="shared" ref="G6:G13" si="0">F6-H6</f>
        <v>17</v>
      </c>
      <c r="H6" s="120">
        <f>SUM($I$5:L6)</f>
        <v>3</v>
      </c>
      <c r="I6" s="123"/>
      <c r="J6" s="108" t="s">
        <v>2</v>
      </c>
      <c r="K6" s="117"/>
      <c r="L6" s="117"/>
      <c r="N6" s="122">
        <v>2</v>
      </c>
      <c r="O6" s="117"/>
      <c r="P6" s="108">
        <v>12</v>
      </c>
      <c r="Q6" s="117"/>
      <c r="R6" s="114"/>
      <c r="S6" s="120">
        <f>SUM($O$5:R6)</f>
        <v>24</v>
      </c>
      <c r="T6" s="944">
        <f t="shared" ref="T6:T11" si="1">S6-U6</f>
        <v>4</v>
      </c>
      <c r="U6" s="120">
        <f>SUM($V$5:Y6)</f>
        <v>20</v>
      </c>
      <c r="V6" s="123"/>
      <c r="W6" s="108">
        <v>11</v>
      </c>
      <c r="X6" s="117"/>
      <c r="Y6" s="117"/>
      <c r="AA6" s="122">
        <v>2</v>
      </c>
      <c r="AB6" s="117"/>
      <c r="AC6" s="108">
        <v>6</v>
      </c>
      <c r="AD6" s="117"/>
      <c r="AE6" s="114"/>
      <c r="AF6" s="120">
        <f>SUM($AB$5:AE6)</f>
        <v>11</v>
      </c>
      <c r="AG6" s="944">
        <f t="shared" ref="AG6:AG21" si="2">AF6-AH6</f>
        <v>0</v>
      </c>
      <c r="AH6" s="120">
        <f>SUM($AI$5:AL6)</f>
        <v>11</v>
      </c>
      <c r="AI6" s="123"/>
      <c r="AJ6" s="108">
        <v>7</v>
      </c>
      <c r="AK6" s="117"/>
      <c r="AL6" s="117"/>
      <c r="AN6" s="122">
        <v>2</v>
      </c>
      <c r="AO6" s="117"/>
      <c r="AP6" s="108" t="s">
        <v>2</v>
      </c>
      <c r="AQ6" s="117"/>
      <c r="AR6" s="114"/>
      <c r="AS6" s="120">
        <f>SUM($AO$5:AR6)</f>
        <v>12</v>
      </c>
      <c r="AT6" s="944">
        <f t="shared" ref="AT6:AT11" si="3">AS6-AU6</f>
        <v>-4</v>
      </c>
      <c r="AU6" s="120">
        <f>SUM($AV$5:AY6)</f>
        <v>16</v>
      </c>
      <c r="AV6" s="123"/>
      <c r="AW6" s="108">
        <v>8</v>
      </c>
      <c r="AX6" s="117"/>
      <c r="AY6" s="117"/>
    </row>
    <row r="7" spans="1:52" ht="15.75">
      <c r="A7" s="122">
        <v>3</v>
      </c>
      <c r="B7" s="108"/>
      <c r="C7" s="117"/>
      <c r="D7" s="117">
        <v>4</v>
      </c>
      <c r="E7" s="119"/>
      <c r="F7" s="120">
        <f>SUM($B$5:E7)</f>
        <v>24</v>
      </c>
      <c r="G7" s="944">
        <f t="shared" si="0"/>
        <v>15</v>
      </c>
      <c r="H7" s="120">
        <f>SUM($I$5:L7)</f>
        <v>9</v>
      </c>
      <c r="I7" s="121"/>
      <c r="J7" s="117"/>
      <c r="K7" s="117">
        <v>6</v>
      </c>
      <c r="L7" s="107"/>
      <c r="N7" s="122">
        <v>3</v>
      </c>
      <c r="O7" s="108"/>
      <c r="P7" s="117"/>
      <c r="Q7" s="117">
        <v>12</v>
      </c>
      <c r="R7" s="119"/>
      <c r="S7" s="120">
        <f>SUM($O$5:R7)</f>
        <v>36</v>
      </c>
      <c r="T7" s="944">
        <f t="shared" si="1"/>
        <v>14</v>
      </c>
      <c r="U7" s="120">
        <f>SUM($V$5:Y7)</f>
        <v>22</v>
      </c>
      <c r="V7" s="121"/>
      <c r="W7" s="117"/>
      <c r="X7" s="117">
        <v>2</v>
      </c>
      <c r="Y7" s="107"/>
      <c r="AA7" s="122">
        <v>3</v>
      </c>
      <c r="AB7" s="108"/>
      <c r="AC7" s="117"/>
      <c r="AD7" s="117">
        <v>6</v>
      </c>
      <c r="AE7" s="119"/>
      <c r="AF7" s="120">
        <f>SUM($AB$5:AE7)</f>
        <v>17</v>
      </c>
      <c r="AG7" s="944">
        <f t="shared" si="2"/>
        <v>3</v>
      </c>
      <c r="AH7" s="120">
        <f>SUM($AI$5:AL7)</f>
        <v>14</v>
      </c>
      <c r="AI7" s="121"/>
      <c r="AJ7" s="117"/>
      <c r="AK7" s="117">
        <v>3</v>
      </c>
      <c r="AL7" s="107"/>
      <c r="AN7" s="122">
        <v>3</v>
      </c>
      <c r="AO7" s="108"/>
      <c r="AP7" s="117"/>
      <c r="AQ7" s="117">
        <v>4</v>
      </c>
      <c r="AR7" s="119"/>
      <c r="AS7" s="120">
        <f>SUM($AO$5:AR7)</f>
        <v>16</v>
      </c>
      <c r="AT7" s="944">
        <f t="shared" si="3"/>
        <v>-3</v>
      </c>
      <c r="AU7" s="120">
        <f>SUM($AV$5:AY7)</f>
        <v>19</v>
      </c>
      <c r="AV7" s="121"/>
      <c r="AW7" s="117"/>
      <c r="AX7" s="117">
        <v>3</v>
      </c>
      <c r="AY7" s="107"/>
    </row>
    <row r="8" spans="1:52" ht="15.75">
      <c r="A8" s="122">
        <v>4</v>
      </c>
      <c r="B8" s="117"/>
      <c r="C8" s="108"/>
      <c r="D8" s="117"/>
      <c r="E8" s="114" t="s">
        <v>2</v>
      </c>
      <c r="F8" s="120">
        <f>SUM($B$5:E8)</f>
        <v>24</v>
      </c>
      <c r="G8" s="944">
        <f t="shared" si="0"/>
        <v>6</v>
      </c>
      <c r="H8" s="120">
        <f>SUM($I$5:L8)</f>
        <v>18</v>
      </c>
      <c r="I8" s="123"/>
      <c r="J8" s="108"/>
      <c r="K8" s="117"/>
      <c r="L8" s="117">
        <v>9</v>
      </c>
      <c r="N8" s="122">
        <v>4</v>
      </c>
      <c r="O8" s="117"/>
      <c r="P8" s="108"/>
      <c r="Q8" s="117"/>
      <c r="R8" s="114">
        <v>3</v>
      </c>
      <c r="S8" s="120">
        <f>SUM($O$5:R8)</f>
        <v>39</v>
      </c>
      <c r="T8" s="944">
        <f t="shared" si="1"/>
        <v>17</v>
      </c>
      <c r="U8" s="120">
        <f>SUM($V$5:Y8)</f>
        <v>22</v>
      </c>
      <c r="V8" s="123"/>
      <c r="W8" s="108"/>
      <c r="X8" s="117"/>
      <c r="Y8" s="117" t="s">
        <v>2</v>
      </c>
      <c r="AA8" s="122">
        <v>4</v>
      </c>
      <c r="AB8" s="117"/>
      <c r="AC8" s="108"/>
      <c r="AD8" s="117"/>
      <c r="AE8" s="114" t="s">
        <v>2</v>
      </c>
      <c r="AF8" s="120">
        <f>SUM($AB$5:AE8)</f>
        <v>17</v>
      </c>
      <c r="AG8" s="944">
        <f t="shared" si="2"/>
        <v>-5</v>
      </c>
      <c r="AH8" s="120">
        <f>SUM($AI$5:AL8)</f>
        <v>22</v>
      </c>
      <c r="AI8" s="123"/>
      <c r="AJ8" s="108"/>
      <c r="AK8" s="117"/>
      <c r="AL8" s="117">
        <v>8</v>
      </c>
      <c r="AN8" s="122">
        <v>4</v>
      </c>
      <c r="AO8" s="117"/>
      <c r="AP8" s="108"/>
      <c r="AQ8" s="117"/>
      <c r="AR8" s="114">
        <v>9</v>
      </c>
      <c r="AS8" s="120">
        <f>SUM($AO$5:AR8)</f>
        <v>25</v>
      </c>
      <c r="AT8" s="944">
        <f t="shared" si="3"/>
        <v>4</v>
      </c>
      <c r="AU8" s="120">
        <f>SUM($AV$5:AY8)</f>
        <v>21</v>
      </c>
      <c r="AV8" s="123"/>
      <c r="AW8" s="108"/>
      <c r="AX8" s="117"/>
      <c r="AY8" s="117">
        <v>2</v>
      </c>
    </row>
    <row r="9" spans="1:52" ht="15.75">
      <c r="A9" s="122">
        <v>5</v>
      </c>
      <c r="B9" s="108">
        <v>9</v>
      </c>
      <c r="C9" s="117"/>
      <c r="D9" s="117"/>
      <c r="E9" s="119"/>
      <c r="F9" s="120">
        <f>SUM($B$5:E9)</f>
        <v>33</v>
      </c>
      <c r="G9" s="944">
        <f t="shared" si="0"/>
        <v>10</v>
      </c>
      <c r="H9" s="120">
        <f>SUM($I$5:L9)</f>
        <v>23</v>
      </c>
      <c r="I9" s="121">
        <v>5</v>
      </c>
      <c r="J9" s="117"/>
      <c r="K9" s="117"/>
      <c r="L9" s="107"/>
      <c r="N9" s="122">
        <v>5</v>
      </c>
      <c r="O9" s="108">
        <v>2</v>
      </c>
      <c r="P9" s="117"/>
      <c r="Q9" s="117"/>
      <c r="R9" s="119"/>
      <c r="S9" s="120">
        <f>SUM($O$5:R9)</f>
        <v>41</v>
      </c>
      <c r="T9" s="944">
        <f t="shared" si="1"/>
        <v>7</v>
      </c>
      <c r="U9" s="120">
        <f>SUM($V$5:Y9)</f>
        <v>34</v>
      </c>
      <c r="V9" s="121">
        <v>12</v>
      </c>
      <c r="W9" s="117"/>
      <c r="X9" s="117"/>
      <c r="Y9" s="107"/>
      <c r="AA9" s="122">
        <v>5</v>
      </c>
      <c r="AB9" s="108">
        <v>8</v>
      </c>
      <c r="AC9" s="117"/>
      <c r="AD9" s="117"/>
      <c r="AE9" s="119"/>
      <c r="AF9" s="120">
        <f>SUM($AB$5:AE9)</f>
        <v>25</v>
      </c>
      <c r="AG9" s="944">
        <f t="shared" si="2"/>
        <v>3</v>
      </c>
      <c r="AH9" s="120">
        <f>SUM($AI$5:AL9)</f>
        <v>22</v>
      </c>
      <c r="AI9" s="121" t="s">
        <v>2</v>
      </c>
      <c r="AJ9" s="117"/>
      <c r="AK9" s="117"/>
      <c r="AL9" s="107"/>
      <c r="AN9" s="122">
        <v>5</v>
      </c>
      <c r="AO9" s="108">
        <v>6</v>
      </c>
      <c r="AP9" s="117"/>
      <c r="AQ9" s="117"/>
      <c r="AR9" s="119"/>
      <c r="AS9" s="120">
        <f>SUM($AO$5:AR9)</f>
        <v>31</v>
      </c>
      <c r="AT9" s="944">
        <f t="shared" si="3"/>
        <v>5</v>
      </c>
      <c r="AU9" s="120">
        <f>SUM($AV$5:AY9)</f>
        <v>26</v>
      </c>
      <c r="AV9" s="121">
        <v>5</v>
      </c>
      <c r="AW9" s="117"/>
      <c r="AX9" s="117"/>
      <c r="AY9" s="107"/>
    </row>
    <row r="10" spans="1:52" ht="15.75">
      <c r="A10" s="122">
        <v>6</v>
      </c>
      <c r="B10" s="117"/>
      <c r="C10" s="108">
        <v>2</v>
      </c>
      <c r="D10" s="117"/>
      <c r="E10" s="114"/>
      <c r="F10" s="120">
        <f>SUM($B$5:E10)</f>
        <v>35</v>
      </c>
      <c r="G10" s="944">
        <f t="shared" si="0"/>
        <v>4</v>
      </c>
      <c r="H10" s="120">
        <f>SUM($I$5:L10)</f>
        <v>31</v>
      </c>
      <c r="I10" s="123"/>
      <c r="J10" s="108">
        <v>8</v>
      </c>
      <c r="K10" s="117"/>
      <c r="L10" s="117"/>
      <c r="N10" s="122">
        <v>6</v>
      </c>
      <c r="O10" s="117"/>
      <c r="P10" s="108">
        <v>2</v>
      </c>
      <c r="Q10" s="117"/>
      <c r="R10" s="114"/>
      <c r="S10" s="120">
        <f>SUM($O$5:R10)</f>
        <v>43</v>
      </c>
      <c r="T10" s="944">
        <f t="shared" si="1"/>
        <v>9</v>
      </c>
      <c r="U10" s="120">
        <f>SUM($V$5:Y10)</f>
        <v>34</v>
      </c>
      <c r="V10" s="123"/>
      <c r="W10" s="117" t="s">
        <v>2</v>
      </c>
      <c r="X10" s="117"/>
      <c r="Y10" s="117"/>
      <c r="AA10" s="122">
        <v>6</v>
      </c>
      <c r="AB10" s="117"/>
      <c r="AC10" s="108">
        <v>8</v>
      </c>
      <c r="AD10" s="117"/>
      <c r="AE10" s="114"/>
      <c r="AF10" s="120">
        <f>SUM($AB$5:AE10)</f>
        <v>33</v>
      </c>
      <c r="AG10" s="944">
        <f t="shared" si="2"/>
        <v>3</v>
      </c>
      <c r="AH10" s="120">
        <f>SUM($AI$5:AL10)</f>
        <v>30</v>
      </c>
      <c r="AI10" s="123"/>
      <c r="AJ10" s="108">
        <v>8</v>
      </c>
      <c r="AK10" s="117"/>
      <c r="AL10" s="117"/>
      <c r="AN10" s="122">
        <v>6</v>
      </c>
      <c r="AO10" s="117"/>
      <c r="AP10" s="108">
        <v>6</v>
      </c>
      <c r="AQ10" s="117"/>
      <c r="AR10" s="114"/>
      <c r="AS10" s="120">
        <f>SUM($AO$5:AR10)</f>
        <v>37</v>
      </c>
      <c r="AT10" s="944">
        <f t="shared" si="3"/>
        <v>7</v>
      </c>
      <c r="AU10" s="120">
        <f>SUM($AV$5:AY10)</f>
        <v>30</v>
      </c>
      <c r="AV10" s="123"/>
      <c r="AW10" s="117">
        <v>4</v>
      </c>
      <c r="AX10" s="117"/>
      <c r="AY10" s="117"/>
    </row>
    <row r="11" spans="1:52" ht="15.75">
      <c r="A11" s="118">
        <v>7</v>
      </c>
      <c r="B11" s="108"/>
      <c r="C11" s="117"/>
      <c r="D11" s="117" t="s">
        <v>2</v>
      </c>
      <c r="E11" s="119"/>
      <c r="F11" s="120">
        <f>SUM($B$5:E11)</f>
        <v>35</v>
      </c>
      <c r="G11" s="944">
        <f t="shared" si="0"/>
        <v>4</v>
      </c>
      <c r="H11" s="120">
        <f>SUM($I$5:L11)</f>
        <v>31</v>
      </c>
      <c r="I11" s="121"/>
      <c r="J11" s="117"/>
      <c r="K11" s="117" t="s">
        <v>2</v>
      </c>
      <c r="L11" s="107"/>
      <c r="N11" s="118">
        <v>7</v>
      </c>
      <c r="O11" s="108"/>
      <c r="P11" s="117"/>
      <c r="Q11" s="565">
        <v>7</v>
      </c>
      <c r="R11" s="119"/>
      <c r="S11" s="120">
        <f>SUM($O$5:R11)</f>
        <v>50</v>
      </c>
      <c r="T11" s="944">
        <f t="shared" si="1"/>
        <v>16</v>
      </c>
      <c r="U11" s="120">
        <f>SUM($V$5:Y11)</f>
        <v>34</v>
      </c>
      <c r="V11" s="123"/>
      <c r="W11" s="117"/>
      <c r="X11" s="117"/>
      <c r="Y11" s="117"/>
      <c r="AA11" s="118">
        <v>7</v>
      </c>
      <c r="AB11" s="108"/>
      <c r="AC11" s="117"/>
      <c r="AD11" s="117">
        <v>5</v>
      </c>
      <c r="AE11" s="119"/>
      <c r="AF11" s="120">
        <f>SUM($AB$5:AE11)</f>
        <v>38</v>
      </c>
      <c r="AG11" s="944">
        <f t="shared" si="2"/>
        <v>8</v>
      </c>
      <c r="AH11" s="120">
        <f>SUM($AI$5:AL11)</f>
        <v>30</v>
      </c>
      <c r="AI11" s="121"/>
      <c r="AJ11" s="117"/>
      <c r="AK11" s="117" t="s">
        <v>2</v>
      </c>
      <c r="AL11" s="107"/>
      <c r="AN11" s="118">
        <v>7</v>
      </c>
      <c r="AO11" s="108"/>
      <c r="AP11" s="117"/>
      <c r="AQ11" s="117">
        <v>3</v>
      </c>
      <c r="AR11" s="119"/>
      <c r="AS11" s="120">
        <f>SUM($AO$5:AR11)</f>
        <v>40</v>
      </c>
      <c r="AT11" s="944">
        <f t="shared" si="3"/>
        <v>4</v>
      </c>
      <c r="AU11" s="120">
        <f>SUM($AV$5:AY11)</f>
        <v>36</v>
      </c>
      <c r="AV11" s="121"/>
      <c r="AW11" s="117"/>
      <c r="AX11" s="117">
        <v>6</v>
      </c>
      <c r="AY11" s="107"/>
    </row>
    <row r="12" spans="1:52" ht="15.75">
      <c r="A12" s="122">
        <v>8</v>
      </c>
      <c r="B12" s="117"/>
      <c r="C12" s="108"/>
      <c r="D12" s="117"/>
      <c r="E12" s="114">
        <v>6</v>
      </c>
      <c r="F12" s="120">
        <f>SUM($B$5:E12)</f>
        <v>41</v>
      </c>
      <c r="G12" s="944">
        <f t="shared" si="0"/>
        <v>5</v>
      </c>
      <c r="H12" s="120">
        <f>SUM($I$5:L12)</f>
        <v>36</v>
      </c>
      <c r="I12" s="123"/>
      <c r="J12" s="108"/>
      <c r="K12" s="117"/>
      <c r="L12" s="117">
        <v>5</v>
      </c>
      <c r="N12" s="433"/>
      <c r="O12" s="113"/>
      <c r="P12" s="434"/>
      <c r="Q12" s="434"/>
      <c r="R12" s="628"/>
      <c r="S12" s="583"/>
      <c r="V12" s="113"/>
      <c r="W12" s="434"/>
      <c r="X12" s="434"/>
      <c r="Y12" s="628"/>
      <c r="AA12" s="122">
        <v>8</v>
      </c>
      <c r="AB12" s="117"/>
      <c r="AC12" s="108"/>
      <c r="AD12" s="117"/>
      <c r="AE12" s="114">
        <v>7</v>
      </c>
      <c r="AF12" s="120">
        <f>SUM($AB$5:AE12)</f>
        <v>45</v>
      </c>
      <c r="AG12" s="944">
        <f t="shared" si="2"/>
        <v>11</v>
      </c>
      <c r="AH12" s="120">
        <f>SUM($AI$5:AL12)</f>
        <v>34</v>
      </c>
      <c r="AI12" s="123"/>
      <c r="AJ12" s="108"/>
      <c r="AK12" s="117"/>
      <c r="AL12" s="117">
        <v>4</v>
      </c>
      <c r="AN12" s="118">
        <v>8</v>
      </c>
      <c r="AO12" s="108"/>
      <c r="AP12" s="117"/>
      <c r="AQ12" s="117"/>
      <c r="AR12" s="119">
        <v>5</v>
      </c>
      <c r="AS12" s="120">
        <f>SUM($AO$5:AR12)</f>
        <v>45</v>
      </c>
      <c r="AT12" s="944">
        <f>AS12-AU12</f>
        <v>9</v>
      </c>
      <c r="AU12" s="120">
        <f>SUM($AV$5:AY12)</f>
        <v>36</v>
      </c>
      <c r="AV12" s="121"/>
      <c r="AW12" s="117"/>
      <c r="AX12" s="117"/>
      <c r="AY12" s="107" t="s">
        <v>2</v>
      </c>
    </row>
    <row r="13" spans="1:52" ht="15.75">
      <c r="A13" s="122">
        <v>9</v>
      </c>
      <c r="B13" s="565">
        <v>9</v>
      </c>
      <c r="C13" s="117"/>
      <c r="D13" s="117"/>
      <c r="E13" s="119"/>
      <c r="F13" s="120">
        <f>SUM($B$5:E13)</f>
        <v>50</v>
      </c>
      <c r="G13" s="944">
        <f t="shared" si="0"/>
        <v>14</v>
      </c>
      <c r="H13" s="120">
        <f>SUM($I$5:L13)</f>
        <v>36</v>
      </c>
      <c r="I13" s="123"/>
      <c r="J13" s="108"/>
      <c r="K13" s="117"/>
      <c r="L13" s="117"/>
      <c r="N13" s="433"/>
      <c r="O13" s="113"/>
      <c r="P13" s="434"/>
      <c r="Q13" s="434"/>
      <c r="R13" s="628"/>
      <c r="S13" s="583"/>
      <c r="V13" s="113"/>
      <c r="W13" s="434"/>
      <c r="X13" s="434"/>
      <c r="Y13" s="628"/>
      <c r="AA13" s="122">
        <v>9</v>
      </c>
      <c r="AB13" s="108">
        <v>4</v>
      </c>
      <c r="AC13" s="117"/>
      <c r="AD13" s="117"/>
      <c r="AE13" s="119"/>
      <c r="AF13" s="120">
        <f>SUM($AB$5:AE13)</f>
        <v>49</v>
      </c>
      <c r="AG13" s="944">
        <f t="shared" si="2"/>
        <v>8</v>
      </c>
      <c r="AH13" s="120">
        <f>SUM($AI$5:AL13)</f>
        <v>41</v>
      </c>
      <c r="AI13" s="121">
        <v>7</v>
      </c>
      <c r="AJ13" s="117"/>
      <c r="AK13" s="117"/>
      <c r="AL13" s="107"/>
      <c r="AN13" s="122">
        <v>9</v>
      </c>
      <c r="AO13" s="117">
        <v>2</v>
      </c>
      <c r="AP13" s="108"/>
      <c r="AQ13" s="117"/>
      <c r="AR13" s="114"/>
      <c r="AS13" s="120">
        <f>SUM($AO$5:AR13)</f>
        <v>47</v>
      </c>
      <c r="AT13" s="944">
        <f>AS13-AU13</f>
        <v>9</v>
      </c>
      <c r="AU13" s="120">
        <f>SUM($AV$5:AY13)</f>
        <v>38</v>
      </c>
      <c r="AV13" s="123">
        <v>2</v>
      </c>
      <c r="AW13" s="108"/>
      <c r="AX13" s="117"/>
      <c r="AY13" s="117"/>
    </row>
    <row r="14" spans="1:52" ht="15.75">
      <c r="C14" s="583"/>
      <c r="I14" s="582"/>
      <c r="J14" s="583"/>
      <c r="K14" s="582"/>
      <c r="L14" s="583"/>
      <c r="N14" s="433"/>
      <c r="O14" s="113"/>
      <c r="P14" s="434"/>
      <c r="Q14" s="434"/>
      <c r="R14" s="628"/>
      <c r="S14" s="583"/>
      <c r="V14" s="113"/>
      <c r="W14" s="434"/>
      <c r="X14" s="434"/>
      <c r="Y14" s="628"/>
      <c r="AA14" s="122">
        <v>10</v>
      </c>
      <c r="AB14" s="117"/>
      <c r="AC14" s="143">
        <v>-24</v>
      </c>
      <c r="AD14" s="117"/>
      <c r="AE14" s="114"/>
      <c r="AF14" s="120">
        <f>SUM($AB$5:AE14)</f>
        <v>25</v>
      </c>
      <c r="AG14" s="944">
        <f t="shared" si="2"/>
        <v>-19</v>
      </c>
      <c r="AH14" s="120">
        <f>SUM($AI$5:AL14)</f>
        <v>44</v>
      </c>
      <c r="AI14" s="123"/>
      <c r="AJ14" s="108">
        <v>3</v>
      </c>
      <c r="AK14" s="117"/>
      <c r="AL14" s="117"/>
      <c r="AN14" s="122">
        <v>10</v>
      </c>
      <c r="AO14" s="108"/>
      <c r="AP14" s="920">
        <v>3</v>
      </c>
      <c r="AQ14" s="117"/>
      <c r="AR14" s="119"/>
      <c r="AS14" s="120">
        <f>SUM($AO$5:AR14)</f>
        <v>50</v>
      </c>
      <c r="AT14" s="944">
        <f>AS14-AU14</f>
        <v>12</v>
      </c>
      <c r="AU14" s="120">
        <f>SUM($AV$5:AY14)</f>
        <v>38</v>
      </c>
      <c r="AV14" s="121"/>
      <c r="AW14" s="117"/>
      <c r="AX14" s="117"/>
      <c r="AY14" s="107"/>
    </row>
    <row r="15" spans="1:52" ht="15.75">
      <c r="C15" s="583"/>
      <c r="I15" s="582"/>
      <c r="J15" s="583"/>
      <c r="K15" s="582"/>
      <c r="L15" s="583"/>
      <c r="N15" s="433"/>
      <c r="O15" s="113"/>
      <c r="P15" s="434"/>
      <c r="Q15" s="434"/>
      <c r="R15" s="628"/>
      <c r="S15" s="583"/>
      <c r="V15" s="113"/>
      <c r="W15" s="434"/>
      <c r="X15" s="434"/>
      <c r="Y15" s="628"/>
      <c r="AA15" s="122">
        <v>11</v>
      </c>
      <c r="AB15" s="108"/>
      <c r="AC15" s="117"/>
      <c r="AD15" s="117">
        <v>4</v>
      </c>
      <c r="AE15" s="119"/>
      <c r="AF15" s="120">
        <f>SUM($AB$5:AE15)</f>
        <v>29</v>
      </c>
      <c r="AG15" s="944">
        <f t="shared" si="2"/>
        <v>4</v>
      </c>
      <c r="AH15" s="120">
        <f>SUM($AI$5:AL15)</f>
        <v>25</v>
      </c>
      <c r="AI15" s="121"/>
      <c r="AJ15" s="117"/>
      <c r="AK15" s="142">
        <v>-19</v>
      </c>
      <c r="AL15" s="107"/>
      <c r="AN15" s="433"/>
      <c r="AO15" s="113"/>
      <c r="AP15" s="434"/>
      <c r="AQ15" s="434"/>
      <c r="AR15" s="628"/>
      <c r="AS15" s="583"/>
      <c r="AV15" s="113"/>
      <c r="AW15" s="434"/>
      <c r="AX15" s="434"/>
      <c r="AY15" s="628"/>
    </row>
    <row r="16" spans="1:52" ht="15.75">
      <c r="C16" s="583"/>
      <c r="I16" s="582"/>
      <c r="J16" s="583"/>
      <c r="K16" s="582"/>
      <c r="L16" s="583"/>
      <c r="N16" s="433"/>
      <c r="O16" s="113"/>
      <c r="P16" s="434"/>
      <c r="Q16" s="434"/>
      <c r="R16" s="628"/>
      <c r="S16" s="583"/>
      <c r="V16" s="113"/>
      <c r="W16" s="434"/>
      <c r="X16" s="434"/>
      <c r="Y16" s="628"/>
      <c r="AA16" s="122">
        <v>12</v>
      </c>
      <c r="AB16" s="117"/>
      <c r="AC16" s="108"/>
      <c r="AD16" s="117"/>
      <c r="AE16" s="114" t="s">
        <v>2</v>
      </c>
      <c r="AF16" s="120">
        <f>SUM($AB$5:AE16)</f>
        <v>29</v>
      </c>
      <c r="AG16" s="944">
        <f t="shared" si="2"/>
        <v>2</v>
      </c>
      <c r="AH16" s="120">
        <f>SUM($AI$5:AL16)</f>
        <v>27</v>
      </c>
      <c r="AI16" s="123"/>
      <c r="AJ16" s="108"/>
      <c r="AK16" s="117"/>
      <c r="AL16" s="117">
        <v>2</v>
      </c>
      <c r="AN16" s="433"/>
      <c r="AO16" s="113"/>
      <c r="AP16" s="434"/>
      <c r="AQ16" s="434"/>
      <c r="AR16" s="628"/>
      <c r="AS16" s="583"/>
      <c r="AV16" s="113"/>
      <c r="AW16" s="434"/>
      <c r="AX16" s="434"/>
      <c r="AY16" s="628"/>
    </row>
    <row r="17" spans="1:52" ht="15.75">
      <c r="C17" s="583"/>
      <c r="I17" s="582"/>
      <c r="J17" s="583"/>
      <c r="K17" s="582"/>
      <c r="L17" s="583"/>
      <c r="N17" s="433"/>
      <c r="O17" s="113"/>
      <c r="P17" s="434"/>
      <c r="Q17" s="434"/>
      <c r="R17" s="628"/>
      <c r="S17" s="583"/>
      <c r="V17" s="113"/>
      <c r="W17" s="434"/>
      <c r="X17" s="434"/>
      <c r="Y17" s="628"/>
      <c r="AA17" s="118">
        <v>13</v>
      </c>
      <c r="AB17" s="108">
        <v>8</v>
      </c>
      <c r="AC17" s="117"/>
      <c r="AD17" s="117"/>
      <c r="AE17" s="119"/>
      <c r="AF17" s="120">
        <f>SUM($AB$5:AE17)</f>
        <v>37</v>
      </c>
      <c r="AG17" s="944">
        <f t="shared" si="2"/>
        <v>10</v>
      </c>
      <c r="AH17" s="120">
        <f>SUM($AI$5:AL17)</f>
        <v>27</v>
      </c>
      <c r="AI17" s="121" t="s">
        <v>2</v>
      </c>
      <c r="AJ17" s="117"/>
      <c r="AK17" s="117"/>
      <c r="AL17" s="107"/>
      <c r="AN17" s="433"/>
      <c r="AO17" s="113"/>
      <c r="AP17" s="434"/>
      <c r="AQ17" s="434"/>
      <c r="AR17" s="628"/>
      <c r="AS17" s="583"/>
      <c r="AV17" s="113"/>
      <c r="AW17" s="434"/>
      <c r="AX17" s="434"/>
      <c r="AY17" s="628"/>
    </row>
    <row r="18" spans="1:52" ht="15.75">
      <c r="C18" s="583"/>
      <c r="I18" s="582"/>
      <c r="J18" s="583"/>
      <c r="K18" s="582"/>
      <c r="L18" s="583"/>
      <c r="N18" s="433"/>
      <c r="O18" s="113"/>
      <c r="P18" s="434"/>
      <c r="Q18" s="434"/>
      <c r="R18" s="628"/>
      <c r="S18" s="583"/>
      <c r="V18" s="113"/>
      <c r="W18" s="434"/>
      <c r="X18" s="434"/>
      <c r="Y18" s="628"/>
      <c r="AA18" s="118">
        <v>14</v>
      </c>
      <c r="AB18" s="117"/>
      <c r="AC18" s="108">
        <v>3</v>
      </c>
      <c r="AD18" s="117"/>
      <c r="AE18" s="114"/>
      <c r="AF18" s="120">
        <f>SUM($AB$5:AE18)</f>
        <v>40</v>
      </c>
      <c r="AG18" s="944">
        <f t="shared" si="2"/>
        <v>3</v>
      </c>
      <c r="AH18" s="120">
        <f>SUM($AI$5:AL18)</f>
        <v>37</v>
      </c>
      <c r="AI18" s="123"/>
      <c r="AJ18" s="108">
        <v>10</v>
      </c>
      <c r="AK18" s="117"/>
      <c r="AL18" s="117"/>
      <c r="AN18" s="433"/>
      <c r="AO18" s="113"/>
      <c r="AP18" s="434"/>
      <c r="AQ18" s="434"/>
      <c r="AR18" s="628"/>
      <c r="AS18" s="583"/>
      <c r="AV18" s="113"/>
      <c r="AW18" s="434"/>
      <c r="AX18" s="434"/>
      <c r="AY18" s="628"/>
    </row>
    <row r="19" spans="1:52" ht="15.75">
      <c r="C19" s="583"/>
      <c r="I19" s="582"/>
      <c r="J19" s="583"/>
      <c r="K19" s="582"/>
      <c r="L19" s="583"/>
      <c r="N19" s="433"/>
      <c r="O19" s="113"/>
      <c r="P19" s="434"/>
      <c r="Q19" s="434"/>
      <c r="R19" s="628"/>
      <c r="S19" s="583"/>
      <c r="V19" s="113"/>
      <c r="W19" s="434"/>
      <c r="X19" s="434"/>
      <c r="Y19" s="628"/>
      <c r="AA19" s="122">
        <v>15</v>
      </c>
      <c r="AB19" s="108"/>
      <c r="AC19" s="117"/>
      <c r="AD19" s="117">
        <v>4</v>
      </c>
      <c r="AE19" s="119"/>
      <c r="AF19" s="120">
        <f>SUM($AB$5:AE19)</f>
        <v>44</v>
      </c>
      <c r="AG19" s="944">
        <f t="shared" si="2"/>
        <v>5</v>
      </c>
      <c r="AH19" s="120">
        <f>SUM($AI$5:AL19)</f>
        <v>39</v>
      </c>
      <c r="AI19" s="121"/>
      <c r="AJ19" s="117"/>
      <c r="AK19" s="117">
        <v>2</v>
      </c>
      <c r="AL19" s="107"/>
      <c r="AN19" s="433"/>
      <c r="AO19" s="113"/>
      <c r="AP19" s="434"/>
      <c r="AQ19" s="434"/>
      <c r="AR19" s="628"/>
      <c r="AS19" s="583"/>
      <c r="AV19" s="113"/>
      <c r="AW19" s="434"/>
      <c r="AX19" s="434"/>
      <c r="AY19" s="628"/>
    </row>
    <row r="20" spans="1:52" ht="15.75">
      <c r="C20" s="583"/>
      <c r="I20" s="582"/>
      <c r="J20" s="583"/>
      <c r="K20" s="582"/>
      <c r="L20" s="583"/>
      <c r="N20" s="433"/>
      <c r="O20" s="113"/>
      <c r="P20" s="434"/>
      <c r="Q20" s="434"/>
      <c r="R20" s="628"/>
      <c r="S20" s="583"/>
      <c r="V20" s="113"/>
      <c r="W20" s="434"/>
      <c r="X20" s="434"/>
      <c r="Y20" s="628"/>
      <c r="AA20" s="122">
        <v>16</v>
      </c>
      <c r="AB20" s="117"/>
      <c r="AC20" s="108"/>
      <c r="AD20" s="117"/>
      <c r="AE20" s="114">
        <v>2</v>
      </c>
      <c r="AF20" s="120">
        <f>SUM($AB$5:AE20)</f>
        <v>46</v>
      </c>
      <c r="AG20" s="944">
        <f t="shared" si="2"/>
        <v>5</v>
      </c>
      <c r="AH20" s="120">
        <f>SUM($AI$5:AL20)</f>
        <v>41</v>
      </c>
      <c r="AI20" s="123"/>
      <c r="AJ20" s="108"/>
      <c r="AK20" s="117"/>
      <c r="AL20" s="117">
        <v>2</v>
      </c>
      <c r="AN20" s="433"/>
      <c r="AO20" s="113"/>
      <c r="AP20" s="434"/>
      <c r="AQ20" s="434"/>
      <c r="AR20" s="628"/>
      <c r="AS20" s="583"/>
      <c r="AV20" s="113"/>
      <c r="AW20" s="434"/>
      <c r="AX20" s="434"/>
      <c r="AY20" s="628"/>
    </row>
    <row r="21" spans="1:52" ht="15.75">
      <c r="C21" s="583"/>
      <c r="I21" s="582"/>
      <c r="J21" s="583"/>
      <c r="K21" s="582"/>
      <c r="L21" s="583"/>
      <c r="N21" s="433"/>
      <c r="O21" s="113"/>
      <c r="P21" s="434"/>
      <c r="Q21" s="434"/>
      <c r="R21" s="628"/>
      <c r="S21" s="583"/>
      <c r="V21" s="113"/>
      <c r="W21" s="434"/>
      <c r="X21" s="434"/>
      <c r="Y21" s="628"/>
      <c r="AA21" s="122">
        <v>17</v>
      </c>
      <c r="AB21" s="108" t="s">
        <v>2</v>
      </c>
      <c r="AC21" s="117"/>
      <c r="AD21" s="117"/>
      <c r="AE21" s="119"/>
      <c r="AF21" s="120">
        <f>SUM($AB$5:AE21)</f>
        <v>46</v>
      </c>
      <c r="AG21" s="944">
        <f t="shared" si="2"/>
        <v>-4</v>
      </c>
      <c r="AH21" s="120">
        <f>SUM($AI$5:AL21)</f>
        <v>50</v>
      </c>
      <c r="AI21" s="1430">
        <v>9</v>
      </c>
      <c r="AJ21" s="117"/>
      <c r="AK21" s="117"/>
      <c r="AL21" s="107"/>
      <c r="AN21" s="433"/>
      <c r="AO21" s="113"/>
      <c r="AP21" s="434"/>
      <c r="AQ21" s="434"/>
      <c r="AR21" s="628"/>
      <c r="AS21" s="583"/>
      <c r="AV21" s="113"/>
      <c r="AW21" s="434"/>
      <c r="AX21" s="434"/>
      <c r="AY21" s="628"/>
    </row>
    <row r="22" spans="1:52">
      <c r="C22" s="583"/>
      <c r="I22" s="582"/>
      <c r="J22" s="583"/>
      <c r="K22" s="582"/>
      <c r="L22" s="583"/>
      <c r="P22" s="583"/>
      <c r="S22" s="583"/>
      <c r="V22" s="582"/>
      <c r="W22" s="583"/>
      <c r="X22" s="582"/>
      <c r="Y22" s="583"/>
      <c r="AC22" s="583"/>
      <c r="AI22" s="582"/>
      <c r="AJ22" s="583"/>
      <c r="AK22" s="582"/>
      <c r="AL22" s="583"/>
      <c r="AP22" s="583"/>
      <c r="AS22" s="583"/>
      <c r="AV22" s="582"/>
      <c r="AW22" s="583"/>
      <c r="AX22" s="582"/>
      <c r="AY22" s="583"/>
    </row>
    <row r="23" spans="1:52" ht="15.75">
      <c r="A23" s="126" t="s">
        <v>3</v>
      </c>
      <c r="B23" s="584">
        <f>SUM(B5:B22)</f>
        <v>29</v>
      </c>
      <c r="C23" s="108">
        <f>SUM(C5:C22)</f>
        <v>11</v>
      </c>
      <c r="D23" s="108">
        <f>SUM(D5:D22)</f>
        <v>4</v>
      </c>
      <c r="E23" s="584">
        <f>SUM(E5:E22)</f>
        <v>6</v>
      </c>
      <c r="F23" s="127">
        <f>MAX(F5:F21)</f>
        <v>50</v>
      </c>
      <c r="H23" s="127">
        <f>MAX(H5:H21)</f>
        <v>36</v>
      </c>
      <c r="I23" s="108">
        <f>SUM(I5:I22)</f>
        <v>8</v>
      </c>
      <c r="J23" s="108">
        <f>SUM(J5:J22)</f>
        <v>8</v>
      </c>
      <c r="K23" s="108">
        <f>SUM(K5:K22)</f>
        <v>6</v>
      </c>
      <c r="L23" s="108">
        <f>SUM(L5:L22)</f>
        <v>14</v>
      </c>
      <c r="N23" s="126" t="s">
        <v>3</v>
      </c>
      <c r="O23" s="108">
        <f>SUM(O5:O22)</f>
        <v>14</v>
      </c>
      <c r="P23" s="108">
        <f>SUM(P5:P22)</f>
        <v>14</v>
      </c>
      <c r="Q23" s="108">
        <f>SUM(Q5:Q22)</f>
        <v>19</v>
      </c>
      <c r="R23" s="108">
        <f>SUM(R5:R22)</f>
        <v>3</v>
      </c>
      <c r="S23" s="127">
        <f>MAX(S5:S19)</f>
        <v>50</v>
      </c>
      <c r="U23" s="127">
        <f>SUM(V23:Y23)</f>
        <v>34</v>
      </c>
      <c r="V23" s="584">
        <f>SUM(V5:V22)</f>
        <v>21</v>
      </c>
      <c r="W23" s="108">
        <f>SUM(W5:W22)</f>
        <v>11</v>
      </c>
      <c r="X23" s="584">
        <f>SUM(X5:X22)</f>
        <v>2</v>
      </c>
      <c r="Y23" s="584">
        <f>SUM(Y5:Y22)</f>
        <v>0</v>
      </c>
      <c r="AA23" s="126" t="s">
        <v>3</v>
      </c>
      <c r="AB23" s="584">
        <f>SUM(AB5:AB22)</f>
        <v>25</v>
      </c>
      <c r="AC23" s="143">
        <f>SUM(AC5:AC22)</f>
        <v>-7</v>
      </c>
      <c r="AD23" s="108">
        <f>SUM(AD5:AD22)</f>
        <v>19</v>
      </c>
      <c r="AE23" s="584">
        <f>SUM(AE5:AE22)</f>
        <v>9</v>
      </c>
      <c r="AF23" s="918">
        <v>46</v>
      </c>
      <c r="AH23" s="127">
        <f>MAX(AH5:AH21)</f>
        <v>50</v>
      </c>
      <c r="AI23" s="108">
        <f>SUM(AI5:AI22)</f>
        <v>20</v>
      </c>
      <c r="AJ23" s="108">
        <f>SUM(AJ5:AJ22)</f>
        <v>28</v>
      </c>
      <c r="AK23" s="143">
        <f>SUM(AK5:AK22)</f>
        <v>-14</v>
      </c>
      <c r="AL23" s="108">
        <f>SUM(AL5:AL22)</f>
        <v>16</v>
      </c>
      <c r="AN23" s="126" t="s">
        <v>3</v>
      </c>
      <c r="AO23" s="108">
        <f>SUM(AO5:AO22)</f>
        <v>20</v>
      </c>
      <c r="AP23" s="108">
        <f>SUM(AP5:AP22)</f>
        <v>9</v>
      </c>
      <c r="AQ23" s="108">
        <f>SUM(AQ5:AQ22)</f>
        <v>7</v>
      </c>
      <c r="AR23" s="108">
        <f>SUM(AR5:AR22)</f>
        <v>14</v>
      </c>
      <c r="AS23" s="127">
        <f>MAX(AS5:AS19)</f>
        <v>50</v>
      </c>
      <c r="AU23" s="127">
        <f>SUM(AV23:AY23)</f>
        <v>38</v>
      </c>
      <c r="AV23" s="584">
        <f>SUM(AV5:AV22)</f>
        <v>15</v>
      </c>
      <c r="AW23" s="108">
        <f>SUM(AW5:AW22)</f>
        <v>12</v>
      </c>
      <c r="AX23" s="584">
        <f>SUM(AX5:AX22)</f>
        <v>9</v>
      </c>
      <c r="AY23" s="584">
        <f>SUM(AY5:AY22)</f>
        <v>2</v>
      </c>
    </row>
    <row r="24" spans="1:52" ht="15.75">
      <c r="A24" s="128" t="s">
        <v>4</v>
      </c>
      <c r="B24" s="117">
        <f>COUNTA(B5:B22)</f>
        <v>3</v>
      </c>
      <c r="C24" s="117">
        <f>COUNTA(C5:C22)</f>
        <v>2</v>
      </c>
      <c r="D24" s="117">
        <f>COUNTA(D5:D22)</f>
        <v>2</v>
      </c>
      <c r="E24" s="117">
        <f>COUNTA(E5:E22)</f>
        <v>2</v>
      </c>
      <c r="F24" s="127">
        <f>SUM(B24:E24)</f>
        <v>9</v>
      </c>
      <c r="H24" s="127">
        <f>SUM(I24:L24)</f>
        <v>8</v>
      </c>
      <c r="I24" s="117">
        <f>COUNTA(I5:I22)</f>
        <v>2</v>
      </c>
      <c r="J24" s="117">
        <f>COUNTA(J5:J22)</f>
        <v>2</v>
      </c>
      <c r="K24" s="117">
        <f>COUNTA(K5:K22)</f>
        <v>2</v>
      </c>
      <c r="L24" s="117">
        <f>COUNTA(L5:L22)</f>
        <v>2</v>
      </c>
      <c r="N24" s="128" t="s">
        <v>4</v>
      </c>
      <c r="O24" s="117">
        <f>COUNTA(O5:O22)</f>
        <v>2</v>
      </c>
      <c r="P24" s="117">
        <f>COUNTA(P5:P22)</f>
        <v>2</v>
      </c>
      <c r="Q24" s="117">
        <f>COUNTA(Q5:Q22)</f>
        <v>2</v>
      </c>
      <c r="R24" s="117">
        <f>COUNTA(R5:R22)</f>
        <v>1</v>
      </c>
      <c r="S24" s="127">
        <f>SUM(O24:R24)</f>
        <v>7</v>
      </c>
      <c r="U24" s="127">
        <f>SUM(V24:Y24)</f>
        <v>6</v>
      </c>
      <c r="V24" s="117">
        <f>COUNTA(V5:V22)</f>
        <v>2</v>
      </c>
      <c r="W24" s="117">
        <f>COUNTA(W5:W22)</f>
        <v>2</v>
      </c>
      <c r="X24" s="117">
        <f>COUNTA(X5:X22)</f>
        <v>1</v>
      </c>
      <c r="Y24" s="117">
        <f>COUNTA(Y5:Y22)</f>
        <v>1</v>
      </c>
      <c r="AA24" s="128" t="s">
        <v>4</v>
      </c>
      <c r="AB24" s="117">
        <f>COUNTA(AB5:AB22)</f>
        <v>5</v>
      </c>
      <c r="AC24" s="117">
        <f>COUNTA(AC5:AC22)</f>
        <v>4</v>
      </c>
      <c r="AD24" s="117">
        <f>COUNTA(AD5:AD22)</f>
        <v>4</v>
      </c>
      <c r="AE24" s="117">
        <f>COUNTA(AE5:AE22)</f>
        <v>4</v>
      </c>
      <c r="AF24" s="127">
        <f>SUM(AB24:AE24)</f>
        <v>17</v>
      </c>
      <c r="AH24" s="127">
        <f>SUM(AI24:AL24)</f>
        <v>17</v>
      </c>
      <c r="AI24" s="117">
        <f>COUNTA(AI5:AI22)</f>
        <v>5</v>
      </c>
      <c r="AJ24" s="117">
        <f>COUNTA(AJ5:AJ22)</f>
        <v>4</v>
      </c>
      <c r="AK24" s="117">
        <f>COUNTA(AK5:AK22)</f>
        <v>4</v>
      </c>
      <c r="AL24" s="117">
        <f>COUNTA(AL5:AL22)</f>
        <v>4</v>
      </c>
      <c r="AN24" s="128" t="s">
        <v>4</v>
      </c>
      <c r="AO24" s="117">
        <f>COUNTA(AO5:AO22)</f>
        <v>3</v>
      </c>
      <c r="AP24" s="117">
        <f>COUNTA(AP5:AP22)</f>
        <v>3</v>
      </c>
      <c r="AQ24" s="117">
        <f>COUNTA(AQ5:AQ22)</f>
        <v>2</v>
      </c>
      <c r="AR24" s="117">
        <f>COUNTA(AR5:AR22)</f>
        <v>2</v>
      </c>
      <c r="AS24" s="127">
        <f>SUM(AO24:AR24)</f>
        <v>10</v>
      </c>
      <c r="AU24" s="127">
        <f>SUM(AV24:AY24)</f>
        <v>9</v>
      </c>
      <c r="AV24" s="117">
        <f>COUNTA(AV5:AV22)</f>
        <v>3</v>
      </c>
      <c r="AW24" s="117">
        <f>COUNTA(AW5:AW22)</f>
        <v>2</v>
      </c>
      <c r="AX24" s="117">
        <f>COUNTA(AX5:AX22)</f>
        <v>2</v>
      </c>
      <c r="AY24" s="117">
        <f>COUNTA(AY5:AY22)</f>
        <v>2</v>
      </c>
    </row>
    <row r="25" spans="1:52" ht="15.75">
      <c r="A25" s="126" t="s">
        <v>6</v>
      </c>
      <c r="B25" s="584">
        <f>B24-COUNT(B5:B22)</f>
        <v>0</v>
      </c>
      <c r="C25" s="584">
        <f>C24-COUNT(C5:C22)</f>
        <v>0</v>
      </c>
      <c r="D25" s="108">
        <f>D24-COUNT(D5:D22)</f>
        <v>1</v>
      </c>
      <c r="E25" s="108">
        <f>E24-COUNT(E5:E22)</f>
        <v>1</v>
      </c>
      <c r="F25" s="127">
        <f>SUM(B25:E25)</f>
        <v>2</v>
      </c>
      <c r="H25" s="127">
        <f>SUM(I25:L25)</f>
        <v>2</v>
      </c>
      <c r="I25" s="108">
        <f>I24-COUNT(I5:I22)</f>
        <v>0</v>
      </c>
      <c r="J25" s="108">
        <f>J24-COUNT(J5:J22)</f>
        <v>1</v>
      </c>
      <c r="K25" s="108">
        <f>K24-COUNT(K5:K22)</f>
        <v>1</v>
      </c>
      <c r="L25" s="108">
        <f>L24-COUNT(L5:L22)</f>
        <v>0</v>
      </c>
      <c r="N25" s="126" t="s">
        <v>6</v>
      </c>
      <c r="O25" s="108">
        <f>O24-COUNT(O5:O22)</f>
        <v>0</v>
      </c>
      <c r="P25" s="108">
        <f>P24-COUNT(P5:P22)</f>
        <v>0</v>
      </c>
      <c r="Q25" s="108">
        <f>Q24-COUNT(Q5:Q22)</f>
        <v>0</v>
      </c>
      <c r="R25" s="108">
        <f>R24-COUNT(R5:R22)</f>
        <v>0</v>
      </c>
      <c r="S25" s="127">
        <f>SUM(O25:R25)</f>
        <v>0</v>
      </c>
      <c r="U25" s="127">
        <f>SUM(V25:Y25)</f>
        <v>2</v>
      </c>
      <c r="V25" s="108">
        <f>V24-COUNT(V5:V22)</f>
        <v>0</v>
      </c>
      <c r="W25" s="108">
        <f>W24-COUNT(W5:W22)</f>
        <v>1</v>
      </c>
      <c r="X25" s="108">
        <f>X24-COUNT(X5:X22)</f>
        <v>0</v>
      </c>
      <c r="Y25" s="108">
        <f>Y24-COUNT(Y5:Y22)</f>
        <v>1</v>
      </c>
      <c r="AA25" s="126" t="s">
        <v>6</v>
      </c>
      <c r="AB25" s="584">
        <f>AB24-COUNT(AB5:AB22)</f>
        <v>1</v>
      </c>
      <c r="AC25" s="584">
        <f>AC24-COUNT(AC5:AC22)</f>
        <v>0</v>
      </c>
      <c r="AD25" s="108">
        <f>AD24-COUNT(AD5:AD22)</f>
        <v>0</v>
      </c>
      <c r="AE25" s="108">
        <f>AE24-COUNT(AE5:AE22)</f>
        <v>2</v>
      </c>
      <c r="AF25" s="127">
        <f>SUM(AB25:AE25)</f>
        <v>3</v>
      </c>
      <c r="AH25" s="127">
        <f>SUM(AI25:AL25)</f>
        <v>3</v>
      </c>
      <c r="AI25" s="108">
        <f>AI24-COUNT(AI5:AI22)</f>
        <v>2</v>
      </c>
      <c r="AJ25" s="108">
        <f>AJ24-COUNT(AJ5:AJ22)</f>
        <v>0</v>
      </c>
      <c r="AK25" s="108">
        <f>AK24-COUNT(AK5:AK22)</f>
        <v>1</v>
      </c>
      <c r="AL25" s="108">
        <f>AL24-COUNT(AL5:AL22)</f>
        <v>0</v>
      </c>
      <c r="AN25" s="126" t="s">
        <v>6</v>
      </c>
      <c r="AO25" s="108">
        <f>AO24-COUNT(AO5:AO22)</f>
        <v>0</v>
      </c>
      <c r="AP25" s="108">
        <f>AP24-COUNT(AP5:AP22)</f>
        <v>1</v>
      </c>
      <c r="AQ25" s="108">
        <f>AQ24-COUNT(AQ5:AQ22)</f>
        <v>0</v>
      </c>
      <c r="AR25" s="108">
        <f>AR24-COUNT(AR5:AR22)</f>
        <v>0</v>
      </c>
      <c r="AS25" s="127">
        <f>SUM(AO25:AR25)</f>
        <v>1</v>
      </c>
      <c r="AU25" s="127">
        <f>SUM(AV25:AY25)</f>
        <v>1</v>
      </c>
      <c r="AV25" s="108">
        <f>AV24-COUNT(AV5:AV22)</f>
        <v>0</v>
      </c>
      <c r="AW25" s="108">
        <f>AW24-COUNT(AW5:AW22)</f>
        <v>0</v>
      </c>
      <c r="AX25" s="108">
        <f>AX24-COUNT(AX5:AX22)</f>
        <v>0</v>
      </c>
      <c r="AY25" s="108">
        <f>AY24-COUNT(AY5:AY22)</f>
        <v>1</v>
      </c>
    </row>
    <row r="26" spans="1:52" ht="15.75">
      <c r="A26" s="126" t="s">
        <v>12</v>
      </c>
      <c r="B26" s="131">
        <f>B25/B24</f>
        <v>0</v>
      </c>
      <c r="C26" s="131">
        <f>C25/C24</f>
        <v>0</v>
      </c>
      <c r="D26" s="129">
        <f>D25/D24</f>
        <v>0.5</v>
      </c>
      <c r="E26" s="129">
        <f>E25/E24</f>
        <v>0.5</v>
      </c>
      <c r="F26" s="130">
        <f>F25/F24</f>
        <v>0.22222222222222221</v>
      </c>
      <c r="H26" s="130">
        <f>H25/H24</f>
        <v>0.25</v>
      </c>
      <c r="I26" s="933">
        <f>I25/I24</f>
        <v>0</v>
      </c>
      <c r="J26" s="129">
        <f>J25/J24</f>
        <v>0.5</v>
      </c>
      <c r="K26" s="129">
        <f>K25/K24</f>
        <v>0.5</v>
      </c>
      <c r="L26" s="129">
        <f>L25/L24</f>
        <v>0</v>
      </c>
      <c r="N26" s="126" t="s">
        <v>12</v>
      </c>
      <c r="O26" s="933">
        <f>O25/O24</f>
        <v>0</v>
      </c>
      <c r="P26" s="129">
        <f>P25/P24</f>
        <v>0</v>
      </c>
      <c r="Q26" s="129">
        <f>Q25/Q24</f>
        <v>0</v>
      </c>
      <c r="R26" s="129">
        <f>R25/R24</f>
        <v>0</v>
      </c>
      <c r="S26" s="130">
        <f>S25/S24</f>
        <v>0</v>
      </c>
      <c r="U26" s="130">
        <f>U25/U24</f>
        <v>0.33333333333333331</v>
      </c>
      <c r="V26" s="129">
        <f>V25/V24</f>
        <v>0</v>
      </c>
      <c r="W26" s="129">
        <f>W25/W24</f>
        <v>0.5</v>
      </c>
      <c r="X26" s="129">
        <f>X25/X24</f>
        <v>0</v>
      </c>
      <c r="Y26" s="129">
        <f>Y25/Y24</f>
        <v>1</v>
      </c>
      <c r="AA26" s="126" t="s">
        <v>12</v>
      </c>
      <c r="AB26" s="131">
        <f>AB25/AB24</f>
        <v>0.2</v>
      </c>
      <c r="AC26" s="131">
        <f>AC25/AC24</f>
        <v>0</v>
      </c>
      <c r="AD26" s="129">
        <f>AD25/AD24</f>
        <v>0</v>
      </c>
      <c r="AE26" s="129">
        <f>AE25/AE24</f>
        <v>0.5</v>
      </c>
      <c r="AF26" s="130">
        <f>AF25/AF24</f>
        <v>0.17647058823529413</v>
      </c>
      <c r="AH26" s="130">
        <f>AH25/AH24</f>
        <v>0.17647058823529413</v>
      </c>
      <c r="AI26" s="933">
        <f>AI25/AI24</f>
        <v>0.4</v>
      </c>
      <c r="AJ26" s="129">
        <f>AJ25/AJ24</f>
        <v>0</v>
      </c>
      <c r="AK26" s="129">
        <f>AK25/AK24</f>
        <v>0.25</v>
      </c>
      <c r="AL26" s="129">
        <f>AL25/AL24</f>
        <v>0</v>
      </c>
      <c r="AN26" s="126" t="s">
        <v>12</v>
      </c>
      <c r="AO26" s="933">
        <f>AO25/AO24</f>
        <v>0</v>
      </c>
      <c r="AP26" s="129">
        <f>AP25/AP24</f>
        <v>0.33333333333333331</v>
      </c>
      <c r="AQ26" s="129">
        <f>AQ25/AQ24</f>
        <v>0</v>
      </c>
      <c r="AR26" s="129">
        <f>AR25/AR24</f>
        <v>0</v>
      </c>
      <c r="AS26" s="130">
        <f>AS25/AS24</f>
        <v>0.1</v>
      </c>
      <c r="AU26" s="130">
        <f>AU25/AU24</f>
        <v>0.1111111111111111</v>
      </c>
      <c r="AV26" s="129">
        <f>AV25/AV24</f>
        <v>0</v>
      </c>
      <c r="AW26" s="129">
        <f>AW25/AW24</f>
        <v>0</v>
      </c>
      <c r="AX26" s="129">
        <f>AX25/AX24</f>
        <v>0</v>
      </c>
      <c r="AY26" s="129">
        <f>AY25/AY24</f>
        <v>0.5</v>
      </c>
    </row>
    <row r="27" spans="1:52" ht="15.75">
      <c r="A27" s="126" t="s">
        <v>5</v>
      </c>
      <c r="B27" s="134">
        <f>B23/B24</f>
        <v>9.6666666666666661</v>
      </c>
      <c r="C27" s="132">
        <f>C23/C24</f>
        <v>5.5</v>
      </c>
      <c r="D27" s="132">
        <f>D23/D24</f>
        <v>2</v>
      </c>
      <c r="E27" s="132">
        <f>E23/E24</f>
        <v>3</v>
      </c>
      <c r="F27" s="133">
        <f>F23/F24</f>
        <v>5.5555555555555554</v>
      </c>
      <c r="H27" s="133">
        <f>H23/H24</f>
        <v>4.5</v>
      </c>
      <c r="I27" s="132">
        <f>I23/I24</f>
        <v>4</v>
      </c>
      <c r="J27" s="132">
        <f>J23/J24</f>
        <v>4</v>
      </c>
      <c r="K27" s="132">
        <f>K23/K24</f>
        <v>3</v>
      </c>
      <c r="L27" s="132">
        <f>L23/L24</f>
        <v>7</v>
      </c>
      <c r="N27" s="126" t="s">
        <v>5</v>
      </c>
      <c r="O27" s="132">
        <f>O23/O24</f>
        <v>7</v>
      </c>
      <c r="P27" s="132">
        <f>P23/P24</f>
        <v>7</v>
      </c>
      <c r="Q27" s="132">
        <f>Q23/Q24</f>
        <v>9.5</v>
      </c>
      <c r="R27" s="132">
        <f>R23/R24</f>
        <v>3</v>
      </c>
      <c r="S27" s="133">
        <f>S23/S24</f>
        <v>7.1428571428571432</v>
      </c>
      <c r="U27" s="133">
        <f>U23/U24</f>
        <v>5.666666666666667</v>
      </c>
      <c r="V27" s="134">
        <f>V23/V24</f>
        <v>10.5</v>
      </c>
      <c r="W27" s="132">
        <f>W23/W24</f>
        <v>5.5</v>
      </c>
      <c r="X27" s="132">
        <f>X23/X24</f>
        <v>2</v>
      </c>
      <c r="Y27" s="132">
        <f>Y23/Y24</f>
        <v>0</v>
      </c>
      <c r="AA27" s="126" t="s">
        <v>5</v>
      </c>
      <c r="AB27" s="134">
        <f>AB23/AB24</f>
        <v>5</v>
      </c>
      <c r="AC27" s="132">
        <f>AC23/AC24</f>
        <v>-1.75</v>
      </c>
      <c r="AD27" s="132">
        <f>AD23/AD24</f>
        <v>4.75</v>
      </c>
      <c r="AE27" s="132">
        <f>AE23/AE24</f>
        <v>2.25</v>
      </c>
      <c r="AF27" s="133">
        <f>AF23/AF24</f>
        <v>2.7058823529411766</v>
      </c>
      <c r="AH27" s="133">
        <f>AH23/AH24</f>
        <v>2.9411764705882355</v>
      </c>
      <c r="AI27" s="132">
        <f>AI23/AI24</f>
        <v>4</v>
      </c>
      <c r="AJ27" s="132">
        <f>AJ23/AJ24</f>
        <v>7</v>
      </c>
      <c r="AK27" s="132">
        <f>AK23/AK24</f>
        <v>-3.5</v>
      </c>
      <c r="AL27" s="132">
        <f>AL23/AL24</f>
        <v>4</v>
      </c>
      <c r="AN27" s="126" t="s">
        <v>5</v>
      </c>
      <c r="AO27" s="132">
        <f>AO23/AO24</f>
        <v>6.666666666666667</v>
      </c>
      <c r="AP27" s="132">
        <f>AP23/AP24</f>
        <v>3</v>
      </c>
      <c r="AQ27" s="132">
        <f>AQ23/AQ24</f>
        <v>3.5</v>
      </c>
      <c r="AR27" s="132">
        <f>AR23/AR24</f>
        <v>7</v>
      </c>
      <c r="AS27" s="133">
        <f>AS23/AS24</f>
        <v>5</v>
      </c>
      <c r="AU27" s="133">
        <f>AU23/AU24</f>
        <v>4.2222222222222223</v>
      </c>
      <c r="AV27" s="134">
        <f>AV23/AV24</f>
        <v>5</v>
      </c>
      <c r="AW27" s="132">
        <f>AW23/AW24</f>
        <v>6</v>
      </c>
      <c r="AX27" s="132">
        <f>AX23/AX24</f>
        <v>4.5</v>
      </c>
      <c r="AY27" s="132">
        <f>AY23/AY24</f>
        <v>1</v>
      </c>
    </row>
    <row r="28" spans="1:52" ht="15.75">
      <c r="A28" s="126" t="s">
        <v>8</v>
      </c>
      <c r="B28" s="135">
        <f>B23/(B24-B25)</f>
        <v>9.6666666666666661</v>
      </c>
      <c r="C28" s="132">
        <f>C23/(C24-C25)</f>
        <v>5.5</v>
      </c>
      <c r="D28" s="134">
        <f>D23/(D24-D25)</f>
        <v>4</v>
      </c>
      <c r="E28" s="135">
        <f>E23/(E24-E25)</f>
        <v>6</v>
      </c>
      <c r="F28" s="136">
        <f>F23/(F24-F25)</f>
        <v>7.1428571428571432</v>
      </c>
      <c r="H28" s="136">
        <f>H23/(H24-H25)</f>
        <v>6</v>
      </c>
      <c r="I28" s="135">
        <f>I23/(I24-I25)</f>
        <v>4</v>
      </c>
      <c r="J28" s="135">
        <f>J23/(J24-J25)</f>
        <v>8</v>
      </c>
      <c r="K28" s="135">
        <f>K23/(K24-K25)</f>
        <v>6</v>
      </c>
      <c r="L28" s="135">
        <f>L23/(L24-L25)</f>
        <v>7</v>
      </c>
      <c r="N28" s="126" t="s">
        <v>8</v>
      </c>
      <c r="O28" s="135">
        <f>O23/(O24-O25)</f>
        <v>7</v>
      </c>
      <c r="P28" s="135">
        <f>P23/(P24-P25)</f>
        <v>7</v>
      </c>
      <c r="Q28" s="135">
        <f>Q23/(Q24-Q25)</f>
        <v>9.5</v>
      </c>
      <c r="R28" s="135">
        <f>R23/(R24-R25)</f>
        <v>3</v>
      </c>
      <c r="S28" s="136">
        <f>S23/(S24-S25)</f>
        <v>7.1428571428571432</v>
      </c>
      <c r="U28" s="136">
        <f>U23/(U24-U25)</f>
        <v>8.5</v>
      </c>
      <c r="V28" s="135">
        <f>V23/(V24-V25)</f>
        <v>10.5</v>
      </c>
      <c r="W28" s="135">
        <f>W23/(W24-W25)</f>
        <v>11</v>
      </c>
      <c r="X28" s="135">
        <f>X23/(X24-X25)</f>
        <v>2</v>
      </c>
      <c r="Y28" s="663">
        <v>0</v>
      </c>
      <c r="AA28" s="126" t="s">
        <v>8</v>
      </c>
      <c r="AB28" s="135">
        <f>AB23/(AB24-AB25)</f>
        <v>6.25</v>
      </c>
      <c r="AC28" s="132">
        <f>AC23/(AC24-AC25)</f>
        <v>-1.75</v>
      </c>
      <c r="AD28" s="134">
        <f>AD23/(AD24-AD25)</f>
        <v>4.75</v>
      </c>
      <c r="AE28" s="135">
        <f>AE23/(AE24-AE25)</f>
        <v>4.5</v>
      </c>
      <c r="AF28" s="136">
        <f>AF23/(AF24-AF25)</f>
        <v>3.2857142857142856</v>
      </c>
      <c r="AH28" s="136">
        <f>AH23/(AH24-AH25)</f>
        <v>3.5714285714285716</v>
      </c>
      <c r="AI28" s="135">
        <f>AI23/(AI24-AI25)</f>
        <v>6.666666666666667</v>
      </c>
      <c r="AJ28" s="135">
        <f>AJ23/(AJ24-AJ25)</f>
        <v>7</v>
      </c>
      <c r="AK28" s="135">
        <f>AK23/(AK24-AK25)</f>
        <v>-4.666666666666667</v>
      </c>
      <c r="AL28" s="135">
        <f>AL23/(AL24-AL25)</f>
        <v>4</v>
      </c>
      <c r="AN28" s="126" t="s">
        <v>8</v>
      </c>
      <c r="AO28" s="135">
        <f>AO23/(AO24-AO25)</f>
        <v>6.666666666666667</v>
      </c>
      <c r="AP28" s="135">
        <f>AP23/(AP24-AP25)</f>
        <v>4.5</v>
      </c>
      <c r="AQ28" s="135">
        <f>AQ23/(AQ24-AQ25)</f>
        <v>3.5</v>
      </c>
      <c r="AR28" s="135">
        <f>AR23/(AR24-AR25)</f>
        <v>7</v>
      </c>
      <c r="AS28" s="136">
        <f>AS23/(AS24-AS25)</f>
        <v>5.5555555555555554</v>
      </c>
      <c r="AU28" s="136">
        <f>AU23/(AU24-AU25)</f>
        <v>4.75</v>
      </c>
      <c r="AV28" s="135">
        <f>AV23/(AV24-AV25)</f>
        <v>5</v>
      </c>
      <c r="AW28" s="135">
        <f>AW23/(AW24-AW25)</f>
        <v>6</v>
      </c>
      <c r="AX28" s="132">
        <f>AX23/(AX24-AX25)</f>
        <v>4.5</v>
      </c>
      <c r="AY28" s="132">
        <f>AY23/(AY24-AY25)</f>
        <v>2</v>
      </c>
    </row>
    <row r="29" spans="1:52" s="111" customFormat="1">
      <c r="A29" s="109"/>
      <c r="B29" s="110"/>
      <c r="C29" s="110"/>
      <c r="D29" s="110"/>
      <c r="E29" s="580"/>
      <c r="F29" s="580"/>
      <c r="N29" s="109"/>
      <c r="O29" s="110"/>
      <c r="P29" s="110"/>
      <c r="Q29" s="110"/>
      <c r="R29" s="580"/>
      <c r="AA29" s="109"/>
      <c r="AB29" s="110"/>
      <c r="AC29" s="110"/>
      <c r="AD29" s="110"/>
      <c r="AE29" s="580"/>
      <c r="AF29" s="580"/>
      <c r="AN29" s="109"/>
      <c r="AO29" s="110"/>
      <c r="AP29" s="110"/>
      <c r="AQ29" s="110"/>
      <c r="AR29" s="580"/>
    </row>
    <row r="30" spans="1:52" ht="15.75">
      <c r="B30" s="1545" t="s">
        <v>131</v>
      </c>
      <c r="C30" s="1545"/>
      <c r="D30" s="1545"/>
      <c r="E30" s="1545"/>
      <c r="I30" s="1543" t="s">
        <v>130</v>
      </c>
      <c r="J30" s="1543"/>
      <c r="K30" s="1543"/>
      <c r="L30" s="1543"/>
      <c r="O30" s="1545" t="s">
        <v>130</v>
      </c>
      <c r="P30" s="1545"/>
      <c r="Q30" s="1545"/>
      <c r="R30" s="1545"/>
      <c r="V30" s="1543" t="s">
        <v>131</v>
      </c>
      <c r="W30" s="1543"/>
      <c r="X30" s="1543"/>
      <c r="Y30" s="1543"/>
      <c r="AB30" s="1543" t="s">
        <v>131</v>
      </c>
      <c r="AC30" s="1543"/>
      <c r="AD30" s="1543"/>
      <c r="AE30" s="1543"/>
      <c r="AI30" s="1545" t="s">
        <v>130</v>
      </c>
      <c r="AJ30" s="1545"/>
      <c r="AK30" s="1545"/>
      <c r="AL30" s="1545"/>
      <c r="AO30" s="1545" t="s">
        <v>130</v>
      </c>
      <c r="AP30" s="1545"/>
      <c r="AQ30" s="1545"/>
      <c r="AR30" s="1545"/>
      <c r="AV30" s="1543" t="s">
        <v>131</v>
      </c>
      <c r="AW30" s="1543"/>
      <c r="AX30" s="1543"/>
      <c r="AY30" s="1543"/>
    </row>
    <row r="31" spans="1:52" ht="15.75">
      <c r="B31" s="588">
        <v>1</v>
      </c>
      <c r="C31" s="589">
        <v>2</v>
      </c>
      <c r="D31" s="590">
        <v>3</v>
      </c>
      <c r="E31" s="874">
        <v>4</v>
      </c>
      <c r="F31" s="113">
        <f>IF(COUNTIF(F33:F45,"&gt;37")=0,0,COUNTIF(F33:F45,"&gt;37")-1)</f>
        <v>4</v>
      </c>
      <c r="H31" s="113">
        <f>IF(COUNTIF(H33:H45,"&gt;37")=0,0,COUNTIF(H33:H45,"&gt;37")-1)</f>
        <v>0</v>
      </c>
      <c r="I31" s="934">
        <v>1</v>
      </c>
      <c r="J31" s="935">
        <v>2</v>
      </c>
      <c r="K31" s="936">
        <v>3</v>
      </c>
      <c r="L31" s="937">
        <v>4</v>
      </c>
      <c r="O31" s="921">
        <v>1</v>
      </c>
      <c r="P31" s="922">
        <v>2</v>
      </c>
      <c r="Q31" s="923">
        <v>3</v>
      </c>
      <c r="R31" s="924">
        <v>4</v>
      </c>
      <c r="S31" s="113">
        <f>IF(COUNTIF(S33:S45,"&gt;37")=0,0,COUNTIF(S33:S45,"&gt;37")-1)</f>
        <v>3</v>
      </c>
      <c r="U31" s="113">
        <f>IF(COUNTIF(U33:U45,"&gt;37")=0,0,COUNTIF(U33:U45,"&gt;37")-1)</f>
        <v>0</v>
      </c>
      <c r="V31" s="934">
        <v>1</v>
      </c>
      <c r="W31" s="935">
        <v>2</v>
      </c>
      <c r="X31" s="936">
        <v>3</v>
      </c>
      <c r="Y31" s="937">
        <v>4</v>
      </c>
      <c r="AB31" s="934">
        <v>1</v>
      </c>
      <c r="AC31" s="935">
        <v>2</v>
      </c>
      <c r="AD31" s="936">
        <v>3</v>
      </c>
      <c r="AE31" s="937">
        <v>4</v>
      </c>
      <c r="AF31" s="918">
        <v>3</v>
      </c>
      <c r="AH31" s="113">
        <f>IF(COUNTIF(AH33:AH45,"&gt;37")=0,0,COUNTIF(AH33:AH45,"&gt;37")-1)</f>
        <v>5</v>
      </c>
      <c r="AI31" s="921">
        <v>1</v>
      </c>
      <c r="AJ31" s="922">
        <v>2</v>
      </c>
      <c r="AK31" s="923">
        <v>3</v>
      </c>
      <c r="AL31" s="924">
        <v>4</v>
      </c>
      <c r="AO31" s="921">
        <v>1</v>
      </c>
      <c r="AP31" s="922">
        <v>2</v>
      </c>
      <c r="AQ31" s="923">
        <v>3</v>
      </c>
      <c r="AR31" s="924">
        <v>4</v>
      </c>
      <c r="AS31" s="113">
        <f>IF(COUNTIF(AS33:AS45,"&gt;37")=0,0,COUNTIF(AS33:AS45,"&gt;37")-1)</f>
        <v>2</v>
      </c>
      <c r="AU31" s="113">
        <f>IF(COUNTIF(AU33:AU45,"&gt;37")=0,0,COUNTIF(AU33:AU45,"&gt;37")-1)</f>
        <v>0</v>
      </c>
      <c r="AV31" s="934">
        <v>1</v>
      </c>
      <c r="AW31" s="935">
        <v>2</v>
      </c>
      <c r="AX31" s="936">
        <v>3</v>
      </c>
      <c r="AY31" s="937">
        <v>4</v>
      </c>
    </row>
    <row r="32" spans="1:52" s="596" customFormat="1" ht="57">
      <c r="A32" s="591"/>
      <c r="B32" s="942" t="s">
        <v>9</v>
      </c>
      <c r="C32" s="594" t="s">
        <v>132</v>
      </c>
      <c r="D32" s="594" t="s">
        <v>133</v>
      </c>
      <c r="E32" s="942" t="s">
        <v>134</v>
      </c>
      <c r="F32" s="928"/>
      <c r="G32" s="593"/>
      <c r="I32" s="938" t="s">
        <v>99</v>
      </c>
      <c r="J32" s="939" t="s">
        <v>100</v>
      </c>
      <c r="K32" s="939" t="s">
        <v>101</v>
      </c>
      <c r="L32" s="943" t="s">
        <v>102</v>
      </c>
      <c r="M32" s="945"/>
      <c r="N32" s="591"/>
      <c r="O32" s="929" t="s">
        <v>99</v>
      </c>
      <c r="P32" s="930" t="s">
        <v>100</v>
      </c>
      <c r="Q32" s="930" t="s">
        <v>101</v>
      </c>
      <c r="R32" s="931" t="s">
        <v>102</v>
      </c>
      <c r="S32" s="593"/>
      <c r="T32" s="593"/>
      <c r="U32" s="593"/>
      <c r="V32" s="938" t="s">
        <v>134</v>
      </c>
      <c r="W32" s="939" t="s">
        <v>9</v>
      </c>
      <c r="X32" s="939" t="s">
        <v>132</v>
      </c>
      <c r="Y32" s="943" t="s">
        <v>133</v>
      </c>
      <c r="Z32" s="945"/>
      <c r="AA32" s="591"/>
      <c r="AB32" s="938" t="s">
        <v>134</v>
      </c>
      <c r="AC32" s="939" t="s">
        <v>9</v>
      </c>
      <c r="AD32" s="939" t="s">
        <v>132</v>
      </c>
      <c r="AE32" s="943" t="s">
        <v>133</v>
      </c>
      <c r="AF32" s="928"/>
      <c r="AG32" s="593"/>
      <c r="AI32" s="929" t="s">
        <v>99</v>
      </c>
      <c r="AJ32" s="930" t="s">
        <v>100</v>
      </c>
      <c r="AK32" s="930" t="s">
        <v>113</v>
      </c>
      <c r="AL32" s="929" t="s">
        <v>102</v>
      </c>
      <c r="AM32" s="945"/>
      <c r="AN32" s="591"/>
      <c r="AO32" s="929" t="s">
        <v>99</v>
      </c>
      <c r="AP32" s="930" t="s">
        <v>100</v>
      </c>
      <c r="AQ32" s="930" t="s">
        <v>113</v>
      </c>
      <c r="AR32" s="929" t="s">
        <v>102</v>
      </c>
      <c r="AS32" s="593"/>
      <c r="AT32" s="593"/>
      <c r="AU32" s="593"/>
      <c r="AV32" s="938" t="s">
        <v>9</v>
      </c>
      <c r="AW32" s="939" t="s">
        <v>132</v>
      </c>
      <c r="AX32" s="939" t="s">
        <v>133</v>
      </c>
      <c r="AY32" s="943" t="s">
        <v>134</v>
      </c>
      <c r="AZ32" s="945"/>
    </row>
    <row r="33" spans="1:51" ht="15.75">
      <c r="A33" s="118">
        <v>1</v>
      </c>
      <c r="B33" s="108">
        <v>9</v>
      </c>
      <c r="C33" s="117"/>
      <c r="D33" s="117"/>
      <c r="E33" s="119"/>
      <c r="F33" s="120">
        <f>SUM($B33:E$33)</f>
        <v>9</v>
      </c>
      <c r="G33" s="944">
        <f>F33-H33</f>
        <v>-2</v>
      </c>
      <c r="H33" s="120">
        <f>SUM($I33:L$33)</f>
        <v>11</v>
      </c>
      <c r="I33" s="121">
        <v>11</v>
      </c>
      <c r="J33" s="117"/>
      <c r="K33" s="117"/>
      <c r="L33" s="107"/>
      <c r="N33" s="118">
        <v>1</v>
      </c>
      <c r="O33" s="108">
        <v>10</v>
      </c>
      <c r="P33" s="117"/>
      <c r="Q33" s="117"/>
      <c r="R33" s="119"/>
      <c r="S33" s="120">
        <f>SUM($O33:R$33)</f>
        <v>10</v>
      </c>
      <c r="T33" s="944">
        <f>S33-U33</f>
        <v>3</v>
      </c>
      <c r="U33" s="120">
        <f>SUM($V33:Y$33)</f>
        <v>7</v>
      </c>
      <c r="V33" s="108">
        <v>7</v>
      </c>
      <c r="W33" s="117"/>
      <c r="X33" s="117"/>
      <c r="Y33" s="119"/>
      <c r="AA33" s="118">
        <v>1</v>
      </c>
      <c r="AB33" s="108">
        <v>10</v>
      </c>
      <c r="AC33" s="117"/>
      <c r="AD33" s="117"/>
      <c r="AE33" s="119"/>
      <c r="AF33" s="120">
        <f>SUM($AB33:AE$33)</f>
        <v>10</v>
      </c>
      <c r="AG33" s="944">
        <f>AF33-AH33</f>
        <v>8</v>
      </c>
      <c r="AH33" s="120">
        <f>SUM($AI33:AL$33)</f>
        <v>2</v>
      </c>
      <c r="AI33" s="121">
        <v>2</v>
      </c>
      <c r="AJ33" s="117"/>
      <c r="AK33" s="117"/>
      <c r="AL33" s="107"/>
      <c r="AN33" s="118">
        <v>1</v>
      </c>
      <c r="AO33" s="108">
        <v>11</v>
      </c>
      <c r="AP33" s="117"/>
      <c r="AQ33" s="117"/>
      <c r="AR33" s="119"/>
      <c r="AS33" s="120">
        <f>SUM($AO33:AR$33)</f>
        <v>11</v>
      </c>
      <c r="AT33" s="944">
        <f>AS33-AU33</f>
        <v>7</v>
      </c>
      <c r="AU33" s="120">
        <f>SUM($AV33:AY$33)</f>
        <v>4</v>
      </c>
      <c r="AV33" s="108">
        <v>4</v>
      </c>
      <c r="AW33" s="117"/>
      <c r="AX33" s="117"/>
      <c r="AY33" s="119"/>
    </row>
    <row r="34" spans="1:51" ht="15.75">
      <c r="A34" s="122">
        <v>2</v>
      </c>
      <c r="B34" s="117"/>
      <c r="C34" s="108">
        <v>5</v>
      </c>
      <c r="D34" s="117"/>
      <c r="E34" s="114"/>
      <c r="F34" s="120">
        <f>SUM($B$33:E34)</f>
        <v>14</v>
      </c>
      <c r="G34" s="944">
        <f t="shared" ref="G34:G40" si="4">F34-H34</f>
        <v>-4</v>
      </c>
      <c r="H34" s="120">
        <f>SUM($I$33:L34)</f>
        <v>18</v>
      </c>
      <c r="I34" s="123"/>
      <c r="J34" s="108">
        <v>7</v>
      </c>
      <c r="K34" s="117"/>
      <c r="L34" s="117"/>
      <c r="N34" s="122">
        <v>2</v>
      </c>
      <c r="O34" s="117"/>
      <c r="P34" s="108">
        <v>2</v>
      </c>
      <c r="Q34" s="117"/>
      <c r="R34" s="114"/>
      <c r="S34" s="120">
        <f>SUM($O$33:R34)</f>
        <v>12</v>
      </c>
      <c r="T34" s="944">
        <f t="shared" ref="T34:T39" si="5">S34-U34</f>
        <v>5</v>
      </c>
      <c r="U34" s="120">
        <f>SUM($V$33:Y34)</f>
        <v>7</v>
      </c>
      <c r="V34" s="117"/>
      <c r="W34" s="108" t="s">
        <v>2</v>
      </c>
      <c r="X34" s="117"/>
      <c r="Y34" s="114"/>
      <c r="AA34" s="122">
        <v>2</v>
      </c>
      <c r="AB34" s="117"/>
      <c r="AC34" s="108">
        <v>2</v>
      </c>
      <c r="AD34" s="117"/>
      <c r="AE34" s="114"/>
      <c r="AF34" s="120">
        <f>SUM($AB$33:AE34)</f>
        <v>12</v>
      </c>
      <c r="AG34" s="944">
        <f t="shared" ref="AG34:AG40" si="6">AF34-AH34</f>
        <v>1</v>
      </c>
      <c r="AH34" s="120">
        <f>SUM($AI$33:AL34)</f>
        <v>11</v>
      </c>
      <c r="AI34" s="123"/>
      <c r="AJ34" s="108">
        <v>9</v>
      </c>
      <c r="AK34" s="117"/>
      <c r="AL34" s="117"/>
      <c r="AN34" s="122">
        <v>2</v>
      </c>
      <c r="AO34" s="117"/>
      <c r="AP34" s="108">
        <v>6</v>
      </c>
      <c r="AQ34" s="117"/>
      <c r="AR34" s="114"/>
      <c r="AS34" s="120">
        <f>SUM($AO$33:AR34)</f>
        <v>17</v>
      </c>
      <c r="AT34" s="944">
        <f t="shared" ref="AT34:AT40" si="7">AS34-AU34</f>
        <v>13</v>
      </c>
      <c r="AU34" s="120">
        <f>SUM($AV$33:AY34)</f>
        <v>4</v>
      </c>
      <c r="AV34" s="117"/>
      <c r="AW34" s="108" t="s">
        <v>2</v>
      </c>
      <c r="AX34" s="117"/>
      <c r="AY34" s="114"/>
    </row>
    <row r="35" spans="1:51" ht="15.75">
      <c r="A35" s="122">
        <v>3</v>
      </c>
      <c r="B35" s="108"/>
      <c r="C35" s="117"/>
      <c r="D35" s="117">
        <v>10</v>
      </c>
      <c r="E35" s="119"/>
      <c r="F35" s="120">
        <f>SUM($B$33:E35)</f>
        <v>24</v>
      </c>
      <c r="G35" s="944">
        <f t="shared" si="4"/>
        <v>6</v>
      </c>
      <c r="H35" s="120">
        <f>SUM($I$33:L35)</f>
        <v>18</v>
      </c>
      <c r="I35" s="121"/>
      <c r="J35" s="117"/>
      <c r="K35" s="117" t="s">
        <v>2</v>
      </c>
      <c r="L35" s="107"/>
      <c r="N35" s="122">
        <v>3</v>
      </c>
      <c r="O35" s="108"/>
      <c r="P35" s="117"/>
      <c r="Q35" s="117">
        <v>4</v>
      </c>
      <c r="R35" s="119"/>
      <c r="S35" s="120">
        <f>SUM($O$33:R35)</f>
        <v>16</v>
      </c>
      <c r="T35" s="944">
        <f t="shared" si="5"/>
        <v>4</v>
      </c>
      <c r="U35" s="120">
        <f>SUM($V$33:Y35)</f>
        <v>12</v>
      </c>
      <c r="V35" s="108"/>
      <c r="W35" s="117"/>
      <c r="X35" s="117">
        <v>5</v>
      </c>
      <c r="Y35" s="119"/>
      <c r="AA35" s="122">
        <v>3</v>
      </c>
      <c r="AB35" s="108"/>
      <c r="AC35" s="117"/>
      <c r="AD35" s="117">
        <v>2</v>
      </c>
      <c r="AE35" s="119"/>
      <c r="AF35" s="120">
        <f>SUM($AB$33:AE35)</f>
        <v>14</v>
      </c>
      <c r="AG35" s="944">
        <f t="shared" si="6"/>
        <v>-4</v>
      </c>
      <c r="AH35" s="120">
        <f>SUM($AI$33:AL35)</f>
        <v>18</v>
      </c>
      <c r="AI35" s="121"/>
      <c r="AJ35" s="117"/>
      <c r="AK35" s="117">
        <v>7</v>
      </c>
      <c r="AL35" s="107"/>
      <c r="AN35" s="122">
        <v>3</v>
      </c>
      <c r="AO35" s="108"/>
      <c r="AP35" s="117"/>
      <c r="AQ35" s="117">
        <v>6</v>
      </c>
      <c r="AR35" s="119"/>
      <c r="AS35" s="120">
        <f>SUM($AO$33:AR35)</f>
        <v>23</v>
      </c>
      <c r="AT35" s="944">
        <f t="shared" si="7"/>
        <v>18</v>
      </c>
      <c r="AU35" s="120">
        <f>SUM($AV$33:AY35)</f>
        <v>5</v>
      </c>
      <c r="AV35" s="108"/>
      <c r="AW35" s="117"/>
      <c r="AX35" s="117">
        <v>1</v>
      </c>
      <c r="AY35" s="119"/>
    </row>
    <row r="36" spans="1:51" ht="15.75">
      <c r="A36" s="122">
        <v>4</v>
      </c>
      <c r="B36" s="117"/>
      <c r="C36" s="108"/>
      <c r="D36" s="117"/>
      <c r="E36" s="114">
        <v>10</v>
      </c>
      <c r="F36" s="120">
        <f>SUM($B$33:E36)</f>
        <v>34</v>
      </c>
      <c r="G36" s="944">
        <f t="shared" si="4"/>
        <v>10</v>
      </c>
      <c r="H36" s="120">
        <f>SUM($I$33:L36)</f>
        <v>24</v>
      </c>
      <c r="I36" s="123"/>
      <c r="J36" s="108"/>
      <c r="K36" s="117"/>
      <c r="L36" s="117">
        <v>6</v>
      </c>
      <c r="N36" s="122">
        <v>4</v>
      </c>
      <c r="O36" s="117"/>
      <c r="P36" s="108"/>
      <c r="Q36" s="117"/>
      <c r="R36" s="114">
        <v>8</v>
      </c>
      <c r="S36" s="120">
        <f>SUM($O$33:R36)</f>
        <v>24</v>
      </c>
      <c r="T36" s="944">
        <f t="shared" si="5"/>
        <v>7</v>
      </c>
      <c r="U36" s="120">
        <f>SUM($V$33:Y36)</f>
        <v>17</v>
      </c>
      <c r="V36" s="117"/>
      <c r="W36" s="108"/>
      <c r="X36" s="117"/>
      <c r="Y36" s="114">
        <v>5</v>
      </c>
      <c r="AA36" s="122">
        <v>4</v>
      </c>
      <c r="AB36" s="117"/>
      <c r="AC36" s="108"/>
      <c r="AD36" s="117"/>
      <c r="AE36" s="114">
        <v>5</v>
      </c>
      <c r="AF36" s="120">
        <f>SUM($AB$33:AE36)</f>
        <v>19</v>
      </c>
      <c r="AG36" s="944">
        <f t="shared" si="6"/>
        <v>-5</v>
      </c>
      <c r="AH36" s="120">
        <f>SUM($AI$33:AL36)</f>
        <v>24</v>
      </c>
      <c r="AI36" s="123"/>
      <c r="AJ36" s="108"/>
      <c r="AK36" s="117"/>
      <c r="AL36" s="117">
        <v>6</v>
      </c>
      <c r="AN36" s="122">
        <v>4</v>
      </c>
      <c r="AO36" s="117"/>
      <c r="AP36" s="108"/>
      <c r="AQ36" s="117"/>
      <c r="AR36" s="114">
        <v>5</v>
      </c>
      <c r="AS36" s="120">
        <f>SUM($AO$33:AR36)</f>
        <v>28</v>
      </c>
      <c r="AT36" s="944">
        <f t="shared" si="7"/>
        <v>21</v>
      </c>
      <c r="AU36" s="120">
        <f>SUM($AV$33:AY36)</f>
        <v>7</v>
      </c>
      <c r="AV36" s="117"/>
      <c r="AW36" s="108"/>
      <c r="AX36" s="117"/>
      <c r="AY36" s="114">
        <v>2</v>
      </c>
    </row>
    <row r="37" spans="1:51" ht="15.75">
      <c r="A37" s="122">
        <v>5</v>
      </c>
      <c r="B37" s="108">
        <v>12</v>
      </c>
      <c r="C37" s="117"/>
      <c r="D37" s="117"/>
      <c r="E37" s="119"/>
      <c r="F37" s="120">
        <f>SUM($B$33:E37)</f>
        <v>46</v>
      </c>
      <c r="G37" s="944">
        <f t="shared" si="4"/>
        <v>22</v>
      </c>
      <c r="H37" s="120">
        <f>SUM($I$33:L37)</f>
        <v>24</v>
      </c>
      <c r="I37" s="121" t="s">
        <v>2</v>
      </c>
      <c r="J37" s="117"/>
      <c r="K37" s="117"/>
      <c r="L37" s="107"/>
      <c r="N37" s="122">
        <v>5</v>
      </c>
      <c r="O37" s="108">
        <v>8</v>
      </c>
      <c r="P37" s="117"/>
      <c r="Q37" s="117"/>
      <c r="R37" s="119"/>
      <c r="S37" s="120">
        <f>SUM($O$33:R37)</f>
        <v>32</v>
      </c>
      <c r="T37" s="944">
        <f t="shared" si="5"/>
        <v>13</v>
      </c>
      <c r="U37" s="120">
        <f>SUM($V$33:Y37)</f>
        <v>19</v>
      </c>
      <c r="V37" s="117">
        <v>2</v>
      </c>
      <c r="W37" s="117"/>
      <c r="X37" s="117"/>
      <c r="Y37" s="119"/>
      <c r="AA37" s="122">
        <v>5</v>
      </c>
      <c r="AB37" s="108" t="s">
        <v>2</v>
      </c>
      <c r="AC37" s="117"/>
      <c r="AD37" s="117"/>
      <c r="AE37" s="119"/>
      <c r="AF37" s="120">
        <f>SUM($AB$33:AE37)</f>
        <v>19</v>
      </c>
      <c r="AG37" s="944">
        <f t="shared" si="6"/>
        <v>-11</v>
      </c>
      <c r="AH37" s="120">
        <f>SUM($AI$33:AL37)</f>
        <v>30</v>
      </c>
      <c r="AI37" s="121">
        <v>6</v>
      </c>
      <c r="AJ37" s="117"/>
      <c r="AK37" s="117"/>
      <c r="AL37" s="107"/>
      <c r="AN37" s="122">
        <v>5</v>
      </c>
      <c r="AO37" s="108">
        <v>5</v>
      </c>
      <c r="AP37" s="117"/>
      <c r="AQ37" s="117"/>
      <c r="AR37" s="119"/>
      <c r="AS37" s="120">
        <f>SUM($AO$33:AR37)</f>
        <v>33</v>
      </c>
      <c r="AT37" s="944">
        <f t="shared" si="7"/>
        <v>19</v>
      </c>
      <c r="AU37" s="120">
        <f>SUM($AV$33:AY37)</f>
        <v>14</v>
      </c>
      <c r="AV37" s="117">
        <v>7</v>
      </c>
      <c r="AW37" s="117"/>
      <c r="AX37" s="117"/>
      <c r="AY37" s="119"/>
    </row>
    <row r="38" spans="1:51" ht="15.75">
      <c r="A38" s="122">
        <v>6</v>
      </c>
      <c r="B38" s="117"/>
      <c r="C38" s="108">
        <v>2</v>
      </c>
      <c r="D38" s="117"/>
      <c r="E38" s="114"/>
      <c r="F38" s="120">
        <f>SUM($B$33:E38)</f>
        <v>48</v>
      </c>
      <c r="G38" s="944">
        <f t="shared" si="4"/>
        <v>19</v>
      </c>
      <c r="H38" s="120">
        <f>SUM($I$33:L38)</f>
        <v>29</v>
      </c>
      <c r="I38" s="123"/>
      <c r="J38" s="108">
        <v>5</v>
      </c>
      <c r="K38" s="117"/>
      <c r="L38" s="117"/>
      <c r="N38" s="122">
        <v>6</v>
      </c>
      <c r="O38" s="117"/>
      <c r="P38" s="108">
        <v>11</v>
      </c>
      <c r="Q38" s="117"/>
      <c r="R38" s="114"/>
      <c r="S38" s="120">
        <f>SUM($O$33:R38)</f>
        <v>43</v>
      </c>
      <c r="T38" s="944">
        <f t="shared" si="5"/>
        <v>24</v>
      </c>
      <c r="U38" s="120">
        <f>SUM($V$33:Y38)</f>
        <v>19</v>
      </c>
      <c r="V38" s="117"/>
      <c r="W38" s="108" t="s">
        <v>2</v>
      </c>
      <c r="X38" s="117"/>
      <c r="Y38" s="114"/>
      <c r="AA38" s="122">
        <v>6</v>
      </c>
      <c r="AB38" s="117"/>
      <c r="AC38" s="108">
        <v>4</v>
      </c>
      <c r="AD38" s="117"/>
      <c r="AE38" s="114"/>
      <c r="AF38" s="120">
        <f>SUM($AB$33:AE38)</f>
        <v>23</v>
      </c>
      <c r="AG38" s="944">
        <f t="shared" si="6"/>
        <v>-11</v>
      </c>
      <c r="AH38" s="120">
        <f>SUM($AI$33:AL38)</f>
        <v>34</v>
      </c>
      <c r="AI38" s="123"/>
      <c r="AJ38" s="108">
        <v>4</v>
      </c>
      <c r="AK38" s="117"/>
      <c r="AL38" s="117"/>
      <c r="AN38" s="122">
        <v>6</v>
      </c>
      <c r="AO38" s="117"/>
      <c r="AP38" s="108" t="s">
        <v>2</v>
      </c>
      <c r="AQ38" s="117"/>
      <c r="AR38" s="114"/>
      <c r="AS38" s="120">
        <f>SUM($AO$33:AR38)</f>
        <v>33</v>
      </c>
      <c r="AT38" s="944">
        <f t="shared" si="7"/>
        <v>19</v>
      </c>
      <c r="AU38" s="120">
        <f>SUM($AV$33:AY38)</f>
        <v>14</v>
      </c>
      <c r="AV38" s="117"/>
      <c r="AW38" s="108" t="s">
        <v>2</v>
      </c>
      <c r="AX38" s="117"/>
      <c r="AY38" s="114"/>
    </row>
    <row r="39" spans="1:51" ht="15.75">
      <c r="A39" s="118">
        <v>7</v>
      </c>
      <c r="B39" s="108"/>
      <c r="C39" s="117"/>
      <c r="D39" s="142">
        <v>-23</v>
      </c>
      <c r="E39" s="119"/>
      <c r="F39" s="120">
        <f>SUM($B$33:E39)</f>
        <v>25</v>
      </c>
      <c r="G39" s="944">
        <f>F39-H39</f>
        <v>-7</v>
      </c>
      <c r="H39" s="120">
        <f>SUM($I$33:L39)</f>
        <v>32</v>
      </c>
      <c r="I39" s="121"/>
      <c r="J39" s="117"/>
      <c r="K39" s="117">
        <v>3</v>
      </c>
      <c r="L39" s="107"/>
      <c r="N39" s="118">
        <v>7</v>
      </c>
      <c r="O39" s="108"/>
      <c r="P39" s="117"/>
      <c r="Q39" s="117" t="s">
        <v>2</v>
      </c>
      <c r="R39" s="119"/>
      <c r="S39" s="120">
        <f>SUM($O$33:R39)</f>
        <v>43</v>
      </c>
      <c r="T39" s="944">
        <f t="shared" si="5"/>
        <v>13</v>
      </c>
      <c r="U39" s="120">
        <f>SUM($V$33:Y39)</f>
        <v>30</v>
      </c>
      <c r="V39" s="108"/>
      <c r="W39" s="117"/>
      <c r="X39" s="117">
        <v>11</v>
      </c>
      <c r="Y39" s="119"/>
      <c r="AA39" s="118">
        <v>7</v>
      </c>
      <c r="AB39" s="108"/>
      <c r="AC39" s="117"/>
      <c r="AD39" s="117">
        <v>11</v>
      </c>
      <c r="AE39" s="119"/>
      <c r="AF39" s="120">
        <f>SUM($AB$33:AE39)</f>
        <v>34</v>
      </c>
      <c r="AG39" s="944">
        <f t="shared" si="6"/>
        <v>0</v>
      </c>
      <c r="AH39" s="120">
        <f>SUM($AI$33:AL39)</f>
        <v>34</v>
      </c>
      <c r="AI39" s="121"/>
      <c r="AJ39" s="117"/>
      <c r="AK39" s="117" t="s">
        <v>2</v>
      </c>
      <c r="AL39" s="107"/>
      <c r="AN39" s="118">
        <v>7</v>
      </c>
      <c r="AO39" s="108"/>
      <c r="AP39" s="117"/>
      <c r="AQ39" s="117">
        <v>11</v>
      </c>
      <c r="AR39" s="119"/>
      <c r="AS39" s="120">
        <f>SUM($AO$33:AR39)</f>
        <v>44</v>
      </c>
      <c r="AT39" s="944">
        <f t="shared" si="7"/>
        <v>24</v>
      </c>
      <c r="AU39" s="120">
        <f>SUM($AV$33:AY39)</f>
        <v>20</v>
      </c>
      <c r="AV39" s="108"/>
      <c r="AW39" s="117"/>
      <c r="AX39" s="117">
        <v>6</v>
      </c>
      <c r="AY39" s="119"/>
    </row>
    <row r="40" spans="1:51" ht="15.75">
      <c r="A40" s="122">
        <v>8</v>
      </c>
      <c r="B40" s="117"/>
      <c r="C40" s="108"/>
      <c r="D40" s="117"/>
      <c r="E40" s="114">
        <v>11</v>
      </c>
      <c r="F40" s="120">
        <f>SUM($B$33:E40)</f>
        <v>36</v>
      </c>
      <c r="G40" s="944">
        <f t="shared" si="4"/>
        <v>4</v>
      </c>
      <c r="H40" s="120">
        <f>SUM($I$33:L40)</f>
        <v>32</v>
      </c>
      <c r="I40" s="123"/>
      <c r="J40" s="108"/>
      <c r="K40" s="117"/>
      <c r="L40" s="117" t="s">
        <v>2</v>
      </c>
      <c r="N40" s="118">
        <v>8</v>
      </c>
      <c r="O40" s="108"/>
      <c r="P40" s="117"/>
      <c r="Q40" s="117"/>
      <c r="R40" s="119">
        <v>3</v>
      </c>
      <c r="S40" s="120">
        <f>SUM($O$33:R40)</f>
        <v>46</v>
      </c>
      <c r="T40" s="944">
        <f>S40-U40</f>
        <v>9</v>
      </c>
      <c r="U40" s="120">
        <f>SUM($V$33:Y40)</f>
        <v>37</v>
      </c>
      <c r="V40" s="108"/>
      <c r="W40" s="117"/>
      <c r="X40" s="117"/>
      <c r="Y40" s="119">
        <v>7</v>
      </c>
      <c r="AA40" s="122">
        <v>8</v>
      </c>
      <c r="AB40" s="117"/>
      <c r="AC40" s="108"/>
      <c r="AD40" s="117"/>
      <c r="AE40" s="114">
        <v>11</v>
      </c>
      <c r="AF40" s="120">
        <f>SUM($AB$33:AE40)</f>
        <v>45</v>
      </c>
      <c r="AG40" s="944">
        <f t="shared" si="6"/>
        <v>0</v>
      </c>
      <c r="AH40" s="120">
        <f>SUM($AI$33:AL40)</f>
        <v>45</v>
      </c>
      <c r="AI40" s="123"/>
      <c r="AJ40" s="108"/>
      <c r="AK40" s="117"/>
      <c r="AL40" s="117">
        <v>11</v>
      </c>
      <c r="AN40" s="118">
        <v>8</v>
      </c>
      <c r="AO40" s="108"/>
      <c r="AP40" s="117"/>
      <c r="AQ40" s="117"/>
      <c r="AR40" s="119" t="s">
        <v>2</v>
      </c>
      <c r="AS40" s="120">
        <f>SUM($AO$33:AR40)</f>
        <v>44</v>
      </c>
      <c r="AT40" s="944">
        <f t="shared" si="7"/>
        <v>24</v>
      </c>
      <c r="AU40" s="120">
        <f>SUM($AV$33:AY40)</f>
        <v>20</v>
      </c>
      <c r="AV40" s="108"/>
      <c r="AW40" s="117"/>
      <c r="AX40" s="117"/>
      <c r="AY40" s="119" t="s">
        <v>2</v>
      </c>
    </row>
    <row r="41" spans="1:51" ht="15.75">
      <c r="A41" s="118">
        <v>9</v>
      </c>
      <c r="B41" s="108">
        <v>6</v>
      </c>
      <c r="C41" s="117"/>
      <c r="D41" s="117"/>
      <c r="E41" s="119"/>
      <c r="F41" s="120">
        <f>SUM($B$33:E41)</f>
        <v>42</v>
      </c>
      <c r="G41" s="944">
        <f>F41-H41</f>
        <v>10</v>
      </c>
      <c r="H41" s="120">
        <f>SUM($I$33:L41)</f>
        <v>32</v>
      </c>
      <c r="I41" s="121" t="s">
        <v>2</v>
      </c>
      <c r="J41" s="117"/>
      <c r="K41" s="117"/>
      <c r="L41" s="107"/>
      <c r="N41" s="118">
        <v>9</v>
      </c>
      <c r="O41" s="565">
        <v>4</v>
      </c>
      <c r="P41" s="117"/>
      <c r="Q41" s="117"/>
      <c r="R41" s="119"/>
      <c r="S41" s="120">
        <f>SUM($O$33:R41)</f>
        <v>50</v>
      </c>
      <c r="T41" s="944">
        <f>S41-U41</f>
        <v>13</v>
      </c>
      <c r="U41" s="120">
        <f>SUM($V$33:Y41)</f>
        <v>37</v>
      </c>
      <c r="V41" s="108"/>
      <c r="W41" s="117"/>
      <c r="X41" s="117"/>
      <c r="Y41" s="119"/>
      <c r="AA41" s="118">
        <v>9</v>
      </c>
      <c r="AB41" s="108">
        <v>3</v>
      </c>
      <c r="AC41" s="117"/>
      <c r="AD41" s="117"/>
      <c r="AE41" s="119"/>
      <c r="AF41" s="120">
        <f>SUM($AB$33:AE41)</f>
        <v>48</v>
      </c>
      <c r="AG41" s="944">
        <f>AF41-AH41</f>
        <v>0</v>
      </c>
      <c r="AH41" s="120">
        <f>SUM($AI$33:AL41)</f>
        <v>48</v>
      </c>
      <c r="AI41" s="121">
        <v>3</v>
      </c>
      <c r="AJ41" s="117"/>
      <c r="AK41" s="117"/>
      <c r="AL41" s="107"/>
      <c r="AN41" s="118">
        <v>9</v>
      </c>
      <c r="AO41" s="565">
        <v>6</v>
      </c>
      <c r="AP41" s="117"/>
      <c r="AQ41" s="117"/>
      <c r="AR41" s="119"/>
      <c r="AS41" s="120">
        <f>SUM($AO$33:AR41)</f>
        <v>50</v>
      </c>
      <c r="AT41" s="944">
        <f>AS41-AU41</f>
        <v>30</v>
      </c>
      <c r="AU41" s="120">
        <f>SUM($AV$33:AY41)</f>
        <v>20</v>
      </c>
      <c r="AV41" s="108"/>
      <c r="AW41" s="117"/>
      <c r="AX41" s="117"/>
      <c r="AY41" s="119"/>
    </row>
    <row r="42" spans="1:51" ht="15.75">
      <c r="A42" s="122">
        <v>10</v>
      </c>
      <c r="B42" s="117"/>
      <c r="C42" s="108">
        <v>6</v>
      </c>
      <c r="D42" s="117"/>
      <c r="E42" s="114"/>
      <c r="F42" s="120">
        <f>SUM($B$33:E42)</f>
        <v>48</v>
      </c>
      <c r="G42" s="944">
        <f>F42-H42</f>
        <v>14</v>
      </c>
      <c r="H42" s="120">
        <f>SUM($I$33:L42)</f>
        <v>34</v>
      </c>
      <c r="I42" s="123"/>
      <c r="J42" s="652">
        <v>2</v>
      </c>
      <c r="K42" s="117"/>
      <c r="L42" s="117"/>
      <c r="P42" s="583"/>
      <c r="S42" s="583"/>
      <c r="V42" s="582"/>
      <c r="W42" s="583"/>
      <c r="X42" s="582"/>
      <c r="Y42" s="583"/>
      <c r="AA42" s="122">
        <v>10</v>
      </c>
      <c r="AB42" s="117"/>
      <c r="AC42" s="143">
        <v>-23</v>
      </c>
      <c r="AD42" s="117"/>
      <c r="AE42" s="114"/>
      <c r="AF42" s="120">
        <f>SUM($AB$33:AE42)</f>
        <v>25</v>
      </c>
      <c r="AG42" s="944">
        <f>AF42-AH42</f>
        <v>-23</v>
      </c>
      <c r="AH42" s="120">
        <f>SUM($AI$33:AL42)</f>
        <v>48</v>
      </c>
      <c r="AI42" s="123"/>
      <c r="AJ42" s="108" t="s">
        <v>2</v>
      </c>
      <c r="AK42" s="117"/>
      <c r="AL42" s="117"/>
      <c r="AP42" s="583"/>
      <c r="AS42" s="583"/>
      <c r="AV42" s="582"/>
      <c r="AW42" s="583"/>
      <c r="AX42" s="582"/>
      <c r="AY42" s="583"/>
    </row>
    <row r="43" spans="1:51" ht="15.75">
      <c r="A43" s="122">
        <v>11</v>
      </c>
      <c r="B43" s="108"/>
      <c r="C43" s="117"/>
      <c r="D43" s="565">
        <v>2</v>
      </c>
      <c r="E43" s="119"/>
      <c r="F43" s="120">
        <f>SUM($B$33:E43)</f>
        <v>50</v>
      </c>
      <c r="G43" s="944">
        <f>F43-H43</f>
        <v>16</v>
      </c>
      <c r="H43" s="120">
        <f>SUM($I$33:L43)</f>
        <v>34</v>
      </c>
      <c r="I43" s="121"/>
      <c r="J43" s="117"/>
      <c r="K43" s="117"/>
      <c r="L43" s="107"/>
      <c r="P43" s="583"/>
      <c r="S43" s="583"/>
      <c r="V43" s="582"/>
      <c r="W43" s="583"/>
      <c r="X43" s="582"/>
      <c r="Y43" s="583"/>
      <c r="AA43" s="122">
        <v>11</v>
      </c>
      <c r="AB43" s="108"/>
      <c r="AC43" s="117"/>
      <c r="AD43" s="117">
        <v>12</v>
      </c>
      <c r="AE43" s="119"/>
      <c r="AF43" s="120">
        <f>SUM($AB$33:AE43)</f>
        <v>37</v>
      </c>
      <c r="AG43" s="944">
        <f>AF43-AH43</f>
        <v>-12</v>
      </c>
      <c r="AH43" s="120">
        <f>SUM($AI$33:AL43)</f>
        <v>49</v>
      </c>
      <c r="AI43" s="121"/>
      <c r="AJ43" s="117"/>
      <c r="AK43" s="117">
        <v>1</v>
      </c>
      <c r="AL43" s="107"/>
      <c r="AP43" s="583"/>
      <c r="AS43" s="583"/>
      <c r="AV43" s="582"/>
      <c r="AW43" s="583"/>
      <c r="AX43" s="582"/>
      <c r="AY43" s="583"/>
    </row>
    <row r="44" spans="1:51" ht="15.75">
      <c r="C44" s="583"/>
      <c r="I44" s="582"/>
      <c r="J44" s="583"/>
      <c r="K44" s="582"/>
      <c r="L44" s="583"/>
      <c r="P44" s="583"/>
      <c r="S44" s="583"/>
      <c r="V44" s="582"/>
      <c r="W44" s="583"/>
      <c r="X44" s="582"/>
      <c r="Y44" s="583"/>
      <c r="AA44" s="122">
        <v>12</v>
      </c>
      <c r="AB44" s="117"/>
      <c r="AC44" s="108"/>
      <c r="AD44" s="117"/>
      <c r="AE44" s="114">
        <v>11</v>
      </c>
      <c r="AF44" s="120">
        <f>SUM($AB$33:AE44)</f>
        <v>48</v>
      </c>
      <c r="AG44" s="944">
        <f>AF44-AH44</f>
        <v>-1</v>
      </c>
      <c r="AH44" s="120">
        <f>SUM($AI$33:AL44)</f>
        <v>49</v>
      </c>
      <c r="AI44" s="123"/>
      <c r="AJ44" s="108"/>
      <c r="AK44" s="117"/>
      <c r="AL44" s="117" t="s">
        <v>2</v>
      </c>
      <c r="AP44" s="583"/>
      <c r="AS44" s="583"/>
      <c r="AV44" s="582"/>
      <c r="AW44" s="583"/>
      <c r="AX44" s="582"/>
      <c r="AY44" s="583"/>
    </row>
    <row r="45" spans="1:51" ht="15.75">
      <c r="C45" s="583"/>
      <c r="I45" s="582"/>
      <c r="J45" s="583"/>
      <c r="K45" s="582"/>
      <c r="L45" s="583"/>
      <c r="P45" s="583"/>
      <c r="S45" s="583"/>
      <c r="V45" s="582"/>
      <c r="W45" s="583"/>
      <c r="X45" s="582"/>
      <c r="Y45" s="583"/>
      <c r="AA45" s="122">
        <v>13</v>
      </c>
      <c r="AB45" s="143">
        <v>-23</v>
      </c>
      <c r="AC45" s="117"/>
      <c r="AD45" s="117"/>
      <c r="AE45" s="119"/>
      <c r="AF45" s="120">
        <f>SUM($AB$33:AE45)</f>
        <v>25</v>
      </c>
      <c r="AG45" s="944">
        <f>AF45-AH45</f>
        <v>-25</v>
      </c>
      <c r="AH45" s="120">
        <f>SUM($AI$33:AL45)</f>
        <v>50</v>
      </c>
      <c r="AI45" s="1430">
        <v>1</v>
      </c>
      <c r="AJ45" s="117"/>
      <c r="AK45" s="117"/>
      <c r="AL45" s="107"/>
      <c r="AP45" s="583"/>
      <c r="AS45" s="583"/>
      <c r="AV45" s="582"/>
      <c r="AW45" s="583"/>
      <c r="AX45" s="582"/>
      <c r="AY45" s="583"/>
    </row>
    <row r="46" spans="1:51">
      <c r="C46" s="583"/>
      <c r="I46" s="582"/>
      <c r="J46" s="583"/>
      <c r="K46" s="582"/>
      <c r="L46" s="583"/>
      <c r="P46" s="583"/>
      <c r="S46" s="583"/>
      <c r="V46" s="582"/>
      <c r="W46" s="583"/>
      <c r="X46" s="582"/>
      <c r="Y46" s="583"/>
      <c r="AC46" s="583"/>
      <c r="AI46" s="582"/>
      <c r="AJ46" s="583"/>
      <c r="AK46" s="582"/>
      <c r="AL46" s="583"/>
      <c r="AP46" s="583"/>
      <c r="AS46" s="583"/>
      <c r="AV46" s="582"/>
      <c r="AW46" s="583"/>
      <c r="AX46" s="582"/>
      <c r="AY46" s="583"/>
    </row>
    <row r="47" spans="1:51" ht="15.75">
      <c r="A47" s="126" t="s">
        <v>3</v>
      </c>
      <c r="B47" s="584">
        <f>SUM(B33:B46)</f>
        <v>27</v>
      </c>
      <c r="C47" s="108">
        <f>SUM(C33:C46)</f>
        <v>13</v>
      </c>
      <c r="D47" s="143">
        <f>SUM(D33:D46)</f>
        <v>-11</v>
      </c>
      <c r="E47" s="584">
        <f>SUM(E33:E46)</f>
        <v>21</v>
      </c>
      <c r="F47" s="127">
        <f>MAX(F33:F43)</f>
        <v>50</v>
      </c>
      <c r="H47" s="127">
        <f>MAX(H33:H43)</f>
        <v>34</v>
      </c>
      <c r="I47" s="108">
        <f>SUM(I33:I46)</f>
        <v>11</v>
      </c>
      <c r="J47" s="108">
        <f>SUM(J33:J46)</f>
        <v>14</v>
      </c>
      <c r="K47" s="108">
        <f>SUM(K33:K46)</f>
        <v>3</v>
      </c>
      <c r="L47" s="108">
        <f>SUM(L33:L46)</f>
        <v>6</v>
      </c>
      <c r="N47" s="126" t="s">
        <v>3</v>
      </c>
      <c r="O47" s="108">
        <f>SUM(O33:O46)</f>
        <v>22</v>
      </c>
      <c r="P47" s="108">
        <f>SUM(P33:P46)</f>
        <v>13</v>
      </c>
      <c r="Q47" s="108">
        <f>SUM(Q33:Q46)</f>
        <v>4</v>
      </c>
      <c r="R47" s="108">
        <f>SUM(R33:R46)</f>
        <v>11</v>
      </c>
      <c r="S47" s="127">
        <f>MAX(S33:S45)</f>
        <v>50</v>
      </c>
      <c r="U47" s="127">
        <f>MAX(U33:U45)</f>
        <v>37</v>
      </c>
      <c r="V47" s="584">
        <f>SUM(V33:V46)</f>
        <v>9</v>
      </c>
      <c r="W47" s="108">
        <f>SUM(W33:W46)</f>
        <v>0</v>
      </c>
      <c r="X47" s="584">
        <f>SUM(X33:X46)</f>
        <v>16</v>
      </c>
      <c r="Y47" s="584">
        <f>SUM(Y33:Y46)</f>
        <v>12</v>
      </c>
      <c r="AA47" s="126" t="s">
        <v>3</v>
      </c>
      <c r="AB47" s="852">
        <f>SUM(AB33:AB46)</f>
        <v>-10</v>
      </c>
      <c r="AC47" s="143">
        <f>SUM(AC33:AC46)</f>
        <v>-17</v>
      </c>
      <c r="AD47" s="108">
        <f>SUM(AD33:AD46)</f>
        <v>25</v>
      </c>
      <c r="AE47" s="584">
        <f>SUM(AE33:AE46)</f>
        <v>27</v>
      </c>
      <c r="AF47" s="918">
        <v>25</v>
      </c>
      <c r="AH47" s="127">
        <f>MAX(AH33:AH40)</f>
        <v>45</v>
      </c>
      <c r="AI47" s="108">
        <f>SUM(AI33:AI46)</f>
        <v>12</v>
      </c>
      <c r="AJ47" s="108">
        <f>SUM(AJ33:AJ46)</f>
        <v>13</v>
      </c>
      <c r="AK47" s="108">
        <f>SUM(AK33:AK46)</f>
        <v>8</v>
      </c>
      <c r="AL47" s="108">
        <f>SUM(AL33:AL46)</f>
        <v>17</v>
      </c>
      <c r="AN47" s="126" t="s">
        <v>3</v>
      </c>
      <c r="AO47" s="108">
        <f>SUM(AO33:AO46)</f>
        <v>22</v>
      </c>
      <c r="AP47" s="108">
        <f>SUM(AP33:AP46)</f>
        <v>6</v>
      </c>
      <c r="AQ47" s="108">
        <f>SUM(AQ33:AQ46)</f>
        <v>17</v>
      </c>
      <c r="AR47" s="108">
        <f>SUM(AR33:AR46)</f>
        <v>5</v>
      </c>
      <c r="AS47" s="127">
        <f>MAX(AS33:AS45)</f>
        <v>50</v>
      </c>
      <c r="AU47" s="127">
        <f>MAX(AU33:AU45)</f>
        <v>20</v>
      </c>
      <c r="AV47" s="584">
        <f>SUM(AV33:AV46)</f>
        <v>11</v>
      </c>
      <c r="AW47" s="108">
        <f>SUM(AW33:AW46)</f>
        <v>0</v>
      </c>
      <c r="AX47" s="584">
        <f>SUM(AX33:AX46)</f>
        <v>7</v>
      </c>
      <c r="AY47" s="584">
        <f>SUM(AY33:AY46)</f>
        <v>2</v>
      </c>
    </row>
    <row r="48" spans="1:51" ht="15.75">
      <c r="A48" s="128" t="s">
        <v>4</v>
      </c>
      <c r="B48" s="117">
        <f>COUNTA(B33:B46)</f>
        <v>3</v>
      </c>
      <c r="C48" s="117">
        <f>COUNTA(C33:C46)</f>
        <v>3</v>
      </c>
      <c r="D48" s="117">
        <f>COUNTA(D33:D46)</f>
        <v>3</v>
      </c>
      <c r="E48" s="117">
        <f>COUNTA(E33:E46)</f>
        <v>2</v>
      </c>
      <c r="F48" s="127">
        <f>SUM(B48:E48)</f>
        <v>11</v>
      </c>
      <c r="H48" s="127">
        <f>SUM(I48:L48)</f>
        <v>10</v>
      </c>
      <c r="I48" s="117">
        <f>COUNTA(I33:I46)</f>
        <v>3</v>
      </c>
      <c r="J48" s="117">
        <f>COUNTA(J33:J46)</f>
        <v>3</v>
      </c>
      <c r="K48" s="117">
        <f>COUNTA(K33:K46)</f>
        <v>2</v>
      </c>
      <c r="L48" s="117">
        <f>COUNTA(L33:L46)</f>
        <v>2</v>
      </c>
      <c r="N48" s="128" t="s">
        <v>4</v>
      </c>
      <c r="O48" s="117">
        <f>COUNTA(O33:O46)</f>
        <v>3</v>
      </c>
      <c r="P48" s="117">
        <f>COUNTA(P33:P46)</f>
        <v>2</v>
      </c>
      <c r="Q48" s="117">
        <f>COUNTA(Q33:Q46)</f>
        <v>2</v>
      </c>
      <c r="R48" s="117">
        <f>COUNTA(R33:R46)</f>
        <v>2</v>
      </c>
      <c r="S48" s="127">
        <f>SUM(O48:R48)</f>
        <v>9</v>
      </c>
      <c r="U48" s="127">
        <f>SUM(V48:Y48)</f>
        <v>8</v>
      </c>
      <c r="V48" s="117">
        <f>COUNTA(V33:V46)</f>
        <v>2</v>
      </c>
      <c r="W48" s="117">
        <f>COUNTA(W33:W46)</f>
        <v>2</v>
      </c>
      <c r="X48" s="117">
        <f>COUNTA(X33:X46)</f>
        <v>2</v>
      </c>
      <c r="Y48" s="117">
        <f>COUNTA(Y33:Y46)</f>
        <v>2</v>
      </c>
      <c r="AA48" s="128" t="s">
        <v>4</v>
      </c>
      <c r="AB48" s="117">
        <f>COUNTA(AB33:AB46)</f>
        <v>4</v>
      </c>
      <c r="AC48" s="117">
        <f>COUNTA(AC33:AC46)</f>
        <v>3</v>
      </c>
      <c r="AD48" s="117">
        <f>COUNTA(AD33:AD46)</f>
        <v>3</v>
      </c>
      <c r="AE48" s="117">
        <f>COUNTA(AE33:AE46)</f>
        <v>3</v>
      </c>
      <c r="AF48" s="127">
        <f>SUM(AB48:AE48)</f>
        <v>13</v>
      </c>
      <c r="AH48" s="127">
        <f>SUM(AI48:AL48)</f>
        <v>13</v>
      </c>
      <c r="AI48" s="117">
        <f>COUNTA(AI33:AI46)</f>
        <v>4</v>
      </c>
      <c r="AJ48" s="117">
        <f>COUNTA(AJ33:AJ46)</f>
        <v>3</v>
      </c>
      <c r="AK48" s="117">
        <f>COUNTA(AK33:AK46)</f>
        <v>3</v>
      </c>
      <c r="AL48" s="117">
        <f>COUNTA(AL33:AL46)</f>
        <v>3</v>
      </c>
      <c r="AN48" s="128" t="s">
        <v>4</v>
      </c>
      <c r="AO48" s="117">
        <f>COUNTA(AO33:AO46)</f>
        <v>3</v>
      </c>
      <c r="AP48" s="117">
        <f>COUNTA(AP33:AP46)</f>
        <v>2</v>
      </c>
      <c r="AQ48" s="117">
        <f>COUNTA(AQ33:AQ46)</f>
        <v>2</v>
      </c>
      <c r="AR48" s="117">
        <f>COUNTA(AR33:AR46)</f>
        <v>2</v>
      </c>
      <c r="AS48" s="127">
        <f>SUM(AO48:AR48)</f>
        <v>9</v>
      </c>
      <c r="AU48" s="127">
        <f>SUM(AV48:AY48)</f>
        <v>8</v>
      </c>
      <c r="AV48" s="117">
        <f>COUNTA(AV33:AV46)</f>
        <v>2</v>
      </c>
      <c r="AW48" s="117">
        <f>COUNTA(AW33:AW46)</f>
        <v>2</v>
      </c>
      <c r="AX48" s="117">
        <f>COUNTA(AX33:AX46)</f>
        <v>2</v>
      </c>
      <c r="AY48" s="117">
        <f>COUNTA(AY33:AY46)</f>
        <v>2</v>
      </c>
    </row>
    <row r="49" spans="1:52" ht="15.75">
      <c r="A49" s="126" t="s">
        <v>6</v>
      </c>
      <c r="B49" s="584">
        <f>B48-COUNT(B33:B46)</f>
        <v>0</v>
      </c>
      <c r="C49" s="584">
        <f>C48-COUNT(C33:C46)</f>
        <v>0</v>
      </c>
      <c r="D49" s="108">
        <f>D48-COUNT(D33:D46)</f>
        <v>0</v>
      </c>
      <c r="E49" s="108">
        <f>E48-COUNT(E33:E46)</f>
        <v>0</v>
      </c>
      <c r="F49" s="127">
        <f>SUM(B49:E49)</f>
        <v>0</v>
      </c>
      <c r="H49" s="127">
        <f>SUM(I49:L49)</f>
        <v>4</v>
      </c>
      <c r="I49" s="108">
        <f>I48-COUNT(I33:I46)</f>
        <v>2</v>
      </c>
      <c r="J49" s="108">
        <f>J48-COUNT(J33:J46)</f>
        <v>0</v>
      </c>
      <c r="K49" s="108">
        <f>K48-COUNT(K33:K46)</f>
        <v>1</v>
      </c>
      <c r="L49" s="108">
        <f>L48-COUNT(L33:L46)</f>
        <v>1</v>
      </c>
      <c r="N49" s="126" t="s">
        <v>6</v>
      </c>
      <c r="O49" s="108">
        <f>O48-COUNT(O33:O46)</f>
        <v>0</v>
      </c>
      <c r="P49" s="108">
        <f>P48-COUNT(P33:P46)</f>
        <v>0</v>
      </c>
      <c r="Q49" s="108">
        <f>Q48-COUNT(Q33:Q46)</f>
        <v>1</v>
      </c>
      <c r="R49" s="108">
        <f>R48-COUNT(R33:R46)</f>
        <v>0</v>
      </c>
      <c r="S49" s="127">
        <f>SUM(O49:R49)</f>
        <v>1</v>
      </c>
      <c r="U49" s="127">
        <f>SUM(V49:Y49)</f>
        <v>2</v>
      </c>
      <c r="V49" s="108">
        <f>V48-COUNT(V33:V46)</f>
        <v>0</v>
      </c>
      <c r="W49" s="108">
        <f>W48-COUNT(W33:W46)</f>
        <v>2</v>
      </c>
      <c r="X49" s="108">
        <f>X48-COUNT(X33:X46)</f>
        <v>0</v>
      </c>
      <c r="Y49" s="108">
        <f>Y48-COUNT(Y33:Y46)</f>
        <v>0</v>
      </c>
      <c r="AA49" s="126" t="s">
        <v>6</v>
      </c>
      <c r="AB49" s="584">
        <f>AB48-COUNT(AB33:AB46)</f>
        <v>1</v>
      </c>
      <c r="AC49" s="584">
        <f>AC48-COUNT(AC33:AC46)</f>
        <v>0</v>
      </c>
      <c r="AD49" s="108">
        <f>AD48-COUNT(AD33:AD46)</f>
        <v>0</v>
      </c>
      <c r="AE49" s="108">
        <f>AE48-COUNT(AE33:AE46)</f>
        <v>0</v>
      </c>
      <c r="AF49" s="127">
        <f>SUM(AB49:AE49)</f>
        <v>1</v>
      </c>
      <c r="AH49" s="127">
        <f>SUM(AI49:AL49)</f>
        <v>3</v>
      </c>
      <c r="AI49" s="108">
        <f>AI48-COUNT(AI33:AI46)</f>
        <v>0</v>
      </c>
      <c r="AJ49" s="108">
        <f>AJ48-COUNT(AJ33:AJ46)</f>
        <v>1</v>
      </c>
      <c r="AK49" s="108">
        <f>AK48-COUNT(AK33:AK46)</f>
        <v>1</v>
      </c>
      <c r="AL49" s="108">
        <f>AL48-COUNT(AL33:AL46)</f>
        <v>1</v>
      </c>
      <c r="AN49" s="126" t="s">
        <v>6</v>
      </c>
      <c r="AO49" s="108">
        <f>AO48-COUNT(AO33:AO46)</f>
        <v>0</v>
      </c>
      <c r="AP49" s="108">
        <f>AP48-COUNT(AP33:AP46)</f>
        <v>1</v>
      </c>
      <c r="AQ49" s="108">
        <f>AQ48-COUNT(AQ33:AQ46)</f>
        <v>0</v>
      </c>
      <c r="AR49" s="108">
        <f>AR48-COUNT(AR33:AR46)</f>
        <v>1</v>
      </c>
      <c r="AS49" s="127">
        <f>SUM(AO49:AR49)</f>
        <v>2</v>
      </c>
      <c r="AU49" s="127">
        <f>SUM(AV49:AY49)</f>
        <v>3</v>
      </c>
      <c r="AV49" s="108">
        <f>AV48-COUNT(AV33:AV46)</f>
        <v>0</v>
      </c>
      <c r="AW49" s="108">
        <f>AW48-COUNT(AW33:AW46)</f>
        <v>2</v>
      </c>
      <c r="AX49" s="108">
        <f>AX48-COUNT(AX33:AX46)</f>
        <v>0</v>
      </c>
      <c r="AY49" s="108">
        <f>AY48-COUNT(AY33:AY46)</f>
        <v>1</v>
      </c>
    </row>
    <row r="50" spans="1:52" ht="15.75">
      <c r="A50" s="126" t="s">
        <v>12</v>
      </c>
      <c r="B50" s="131">
        <f>B49/B48</f>
        <v>0</v>
      </c>
      <c r="C50" s="131">
        <f>C49/C48</f>
        <v>0</v>
      </c>
      <c r="D50" s="129">
        <f>D49/D48</f>
        <v>0</v>
      </c>
      <c r="E50" s="129">
        <f>E49/E48</f>
        <v>0</v>
      </c>
      <c r="F50" s="130">
        <f>F49/F48</f>
        <v>0</v>
      </c>
      <c r="H50" s="130">
        <f>H49/H48</f>
        <v>0.4</v>
      </c>
      <c r="I50" s="933">
        <f>I49/I48</f>
        <v>0.66666666666666663</v>
      </c>
      <c r="J50" s="129">
        <f>J49/J48</f>
        <v>0</v>
      </c>
      <c r="K50" s="129">
        <f>K49/K48</f>
        <v>0.5</v>
      </c>
      <c r="L50" s="129">
        <f>L49/L48</f>
        <v>0.5</v>
      </c>
      <c r="N50" s="126" t="s">
        <v>12</v>
      </c>
      <c r="O50" s="933">
        <f>O49/O48</f>
        <v>0</v>
      </c>
      <c r="P50" s="129">
        <f>P49/P48</f>
        <v>0</v>
      </c>
      <c r="Q50" s="129">
        <f>Q49/Q48</f>
        <v>0.5</v>
      </c>
      <c r="R50" s="129">
        <f>R49/R48</f>
        <v>0</v>
      </c>
      <c r="S50" s="130">
        <f>S49/S48</f>
        <v>0.1111111111111111</v>
      </c>
      <c r="U50" s="130">
        <f>U49/U48</f>
        <v>0.25</v>
      </c>
      <c r="V50" s="129">
        <f>V49/V48</f>
        <v>0</v>
      </c>
      <c r="W50" s="129">
        <f>W49/W48</f>
        <v>1</v>
      </c>
      <c r="X50" s="129">
        <f>X49/X48</f>
        <v>0</v>
      </c>
      <c r="Y50" s="129">
        <f>Y49/Y48</f>
        <v>0</v>
      </c>
      <c r="AA50" s="126" t="s">
        <v>12</v>
      </c>
      <c r="AB50" s="131">
        <f>AB49/AB48</f>
        <v>0.25</v>
      </c>
      <c r="AC50" s="131">
        <f>AC49/AC48</f>
        <v>0</v>
      </c>
      <c r="AD50" s="129">
        <f>AD49/AD48</f>
        <v>0</v>
      </c>
      <c r="AE50" s="129">
        <f>AE49/AE48</f>
        <v>0</v>
      </c>
      <c r="AF50" s="130">
        <f>AF49/AF48</f>
        <v>7.6923076923076927E-2</v>
      </c>
      <c r="AH50" s="130">
        <f>AH49/AH48</f>
        <v>0.23076923076923078</v>
      </c>
      <c r="AI50" s="933">
        <f>AI49/AI48</f>
        <v>0</v>
      </c>
      <c r="AJ50" s="129">
        <f>AJ49/AJ48</f>
        <v>0.33333333333333331</v>
      </c>
      <c r="AK50" s="129">
        <f>AK49/AK48</f>
        <v>0.33333333333333331</v>
      </c>
      <c r="AL50" s="129">
        <f>AL49/AL48</f>
        <v>0.33333333333333331</v>
      </c>
      <c r="AN50" s="126" t="s">
        <v>12</v>
      </c>
      <c r="AO50" s="933">
        <f>AO49/AO48</f>
        <v>0</v>
      </c>
      <c r="AP50" s="129">
        <f>AP49/AP48</f>
        <v>0.5</v>
      </c>
      <c r="AQ50" s="129">
        <f>AQ49/AQ48</f>
        <v>0</v>
      </c>
      <c r="AR50" s="129">
        <f>AR49/AR48</f>
        <v>0.5</v>
      </c>
      <c r="AS50" s="130">
        <f>AS49/AS48</f>
        <v>0.22222222222222221</v>
      </c>
      <c r="AU50" s="130">
        <f>AU49/AU48</f>
        <v>0.375</v>
      </c>
      <c r="AV50" s="129">
        <f>AV49/AV48</f>
        <v>0</v>
      </c>
      <c r="AW50" s="129">
        <f>AW49/AW48</f>
        <v>1</v>
      </c>
      <c r="AX50" s="129">
        <f>AX49/AX48</f>
        <v>0</v>
      </c>
      <c r="AY50" s="129">
        <f>AY49/AY48</f>
        <v>0.5</v>
      </c>
    </row>
    <row r="51" spans="1:52" ht="15.75">
      <c r="A51" s="126" t="s">
        <v>5</v>
      </c>
      <c r="B51" s="134">
        <f>B47/B48</f>
        <v>9</v>
      </c>
      <c r="C51" s="132">
        <f>C47/C48</f>
        <v>4.333333333333333</v>
      </c>
      <c r="D51" s="132">
        <f>D47/D48</f>
        <v>-3.6666666666666665</v>
      </c>
      <c r="E51" s="132">
        <f>E47/E48</f>
        <v>10.5</v>
      </c>
      <c r="F51" s="133">
        <f>F47/F48</f>
        <v>4.5454545454545459</v>
      </c>
      <c r="H51" s="133">
        <f>H47/H48</f>
        <v>3.4</v>
      </c>
      <c r="I51" s="132">
        <f>I47/I48</f>
        <v>3.6666666666666665</v>
      </c>
      <c r="J51" s="132">
        <f>J47/J48</f>
        <v>4.666666666666667</v>
      </c>
      <c r="K51" s="132">
        <f>K47/K48</f>
        <v>1.5</v>
      </c>
      <c r="L51" s="132">
        <f>L47/L48</f>
        <v>3</v>
      </c>
      <c r="N51" s="126" t="s">
        <v>5</v>
      </c>
      <c r="O51" s="132">
        <f>O47/O48</f>
        <v>7.333333333333333</v>
      </c>
      <c r="P51" s="132">
        <f>P47/P48</f>
        <v>6.5</v>
      </c>
      <c r="Q51" s="132">
        <f>Q47/Q48</f>
        <v>2</v>
      </c>
      <c r="R51" s="132">
        <f>R47/R48</f>
        <v>5.5</v>
      </c>
      <c r="S51" s="133">
        <f>S47/S48</f>
        <v>5.5555555555555554</v>
      </c>
      <c r="U51" s="133">
        <f>U47/U48</f>
        <v>4.625</v>
      </c>
      <c r="V51" s="134">
        <f>V47/V48</f>
        <v>4.5</v>
      </c>
      <c r="W51" s="132">
        <f>W47/W48</f>
        <v>0</v>
      </c>
      <c r="X51" s="132">
        <f>X47/X48</f>
        <v>8</v>
      </c>
      <c r="Y51" s="132">
        <f>Y47/Y48</f>
        <v>6</v>
      </c>
      <c r="AA51" s="126" t="s">
        <v>5</v>
      </c>
      <c r="AB51" s="134">
        <f>AB47/AB48</f>
        <v>-2.5</v>
      </c>
      <c r="AC51" s="132">
        <f>AC47/AC48</f>
        <v>-5.666666666666667</v>
      </c>
      <c r="AD51" s="132">
        <f>AD47/AD48</f>
        <v>8.3333333333333339</v>
      </c>
      <c r="AE51" s="132">
        <f>AE47/AE48</f>
        <v>9</v>
      </c>
      <c r="AF51" s="133">
        <f>AF47/AF48</f>
        <v>1.9230769230769231</v>
      </c>
      <c r="AH51" s="133">
        <f>AH47/AH48</f>
        <v>3.4615384615384617</v>
      </c>
      <c r="AI51" s="132">
        <f>AI47/AI48</f>
        <v>3</v>
      </c>
      <c r="AJ51" s="132">
        <f>AJ47/AJ48</f>
        <v>4.333333333333333</v>
      </c>
      <c r="AK51" s="132">
        <f>AK47/AK48</f>
        <v>2.6666666666666665</v>
      </c>
      <c r="AL51" s="132">
        <f>AL47/AL48</f>
        <v>5.666666666666667</v>
      </c>
      <c r="AN51" s="126" t="s">
        <v>5</v>
      </c>
      <c r="AO51" s="132">
        <f>AO47/AO48</f>
        <v>7.333333333333333</v>
      </c>
      <c r="AP51" s="132">
        <f>AP47/AP48</f>
        <v>3</v>
      </c>
      <c r="AQ51" s="132">
        <f>AQ47/AQ48</f>
        <v>8.5</v>
      </c>
      <c r="AR51" s="132">
        <f>AR47/AR48</f>
        <v>2.5</v>
      </c>
      <c r="AS51" s="133">
        <f>AS47/AS48</f>
        <v>5.5555555555555554</v>
      </c>
      <c r="AU51" s="133">
        <f>AU47/AU48</f>
        <v>2.5</v>
      </c>
      <c r="AV51" s="134">
        <f>AV47/AV48</f>
        <v>5.5</v>
      </c>
      <c r="AW51" s="132">
        <f>AW47/AW48</f>
        <v>0</v>
      </c>
      <c r="AX51" s="132">
        <f>AX47/AX48</f>
        <v>3.5</v>
      </c>
      <c r="AY51" s="132">
        <f>AY47/AY48</f>
        <v>1</v>
      </c>
    </row>
    <row r="52" spans="1:52" ht="15.75">
      <c r="A52" s="126" t="s">
        <v>8</v>
      </c>
      <c r="B52" s="135">
        <f>B47/(B48-B49)</f>
        <v>9</v>
      </c>
      <c r="C52" s="132">
        <f>C47/(C48-C49)</f>
        <v>4.333333333333333</v>
      </c>
      <c r="D52" s="132">
        <f>D47/(D48-D49)</f>
        <v>-3.6666666666666665</v>
      </c>
      <c r="E52" s="135">
        <f>E47/(E48-E49)</f>
        <v>10.5</v>
      </c>
      <c r="F52" s="136">
        <f>F47/(F48-F49)</f>
        <v>4.5454545454545459</v>
      </c>
      <c r="H52" s="136">
        <f>H47/(H48-H49)</f>
        <v>5.666666666666667</v>
      </c>
      <c r="I52" s="135">
        <f>I47/(I48-I49)</f>
        <v>11</v>
      </c>
      <c r="J52" s="135">
        <f>J47/(J48-J49)</f>
        <v>4.666666666666667</v>
      </c>
      <c r="K52" s="135">
        <f>K47/(K48-K49)</f>
        <v>3</v>
      </c>
      <c r="L52" s="135">
        <f>L47/(L48-L49)</f>
        <v>6</v>
      </c>
      <c r="N52" s="126" t="s">
        <v>8</v>
      </c>
      <c r="O52" s="135">
        <f>O47/(O48-O49)</f>
        <v>7.333333333333333</v>
      </c>
      <c r="P52" s="135">
        <f>P47/(P48-P49)</f>
        <v>6.5</v>
      </c>
      <c r="Q52" s="135">
        <f>Q47/(Q48-Q49)</f>
        <v>4</v>
      </c>
      <c r="R52" s="135">
        <f>R47/(R48-R49)</f>
        <v>5.5</v>
      </c>
      <c r="S52" s="136">
        <f>S47/(S48-S49)</f>
        <v>6.25</v>
      </c>
      <c r="U52" s="136">
        <f>U47/(U48-U49)</f>
        <v>6.166666666666667</v>
      </c>
      <c r="V52" s="134">
        <f>V47/(V48-V49)</f>
        <v>4.5</v>
      </c>
      <c r="W52" s="663">
        <v>0</v>
      </c>
      <c r="X52" s="132">
        <f>X47/(X48-X49)</f>
        <v>8</v>
      </c>
      <c r="Y52" s="132">
        <f>Y47/(Y48-Y49)</f>
        <v>6</v>
      </c>
      <c r="AA52" s="126" t="s">
        <v>8</v>
      </c>
      <c r="AB52" s="135">
        <f>AB47/(AB48-AB49)</f>
        <v>-3.3333333333333335</v>
      </c>
      <c r="AC52" s="132">
        <f>AC47/(AC48-AC49)</f>
        <v>-5.666666666666667</v>
      </c>
      <c r="AD52" s="132">
        <f>AD47/(AD48-AD49)</f>
        <v>8.3333333333333339</v>
      </c>
      <c r="AE52" s="135">
        <f>AE47/(AE48-AE49)</f>
        <v>9</v>
      </c>
      <c r="AF52" s="136">
        <f>AF47/(AF48-AF49)</f>
        <v>2.0833333333333335</v>
      </c>
      <c r="AH52" s="136">
        <f>AH47/(AH48-AH49)</f>
        <v>4.5</v>
      </c>
      <c r="AI52" s="135">
        <f>AI47/(AI48-AI49)</f>
        <v>3</v>
      </c>
      <c r="AJ52" s="135">
        <f>AJ47/(AJ48-AJ49)</f>
        <v>6.5</v>
      </c>
      <c r="AK52" s="135">
        <f>AK47/(AK48-AK49)</f>
        <v>4</v>
      </c>
      <c r="AL52" s="135">
        <f>AL47/(AL48-AL49)</f>
        <v>8.5</v>
      </c>
      <c r="AN52" s="126" t="s">
        <v>8</v>
      </c>
      <c r="AO52" s="135">
        <f>AO47/(AO48-AO49)</f>
        <v>7.333333333333333</v>
      </c>
      <c r="AP52" s="135">
        <f>AP47/(AP48-AP49)</f>
        <v>6</v>
      </c>
      <c r="AQ52" s="135">
        <f>AQ47/(AQ48-AQ49)</f>
        <v>8.5</v>
      </c>
      <c r="AR52" s="135">
        <f>AR47/(AR48-AR49)</f>
        <v>5</v>
      </c>
      <c r="AS52" s="136">
        <f>AS47/(AS48-AS49)</f>
        <v>7.1428571428571432</v>
      </c>
      <c r="AU52" s="136">
        <f>AU47/(AU48-AU49)</f>
        <v>4</v>
      </c>
      <c r="AV52" s="134">
        <f>AV47/(AV48-AV49)</f>
        <v>5.5</v>
      </c>
      <c r="AW52" s="663">
        <v>0</v>
      </c>
      <c r="AX52" s="132">
        <f>AX47/(AX48-AX49)</f>
        <v>3.5</v>
      </c>
      <c r="AY52" s="132">
        <f>AY47/(AY48-AY49)</f>
        <v>2</v>
      </c>
    </row>
    <row r="53" spans="1:52" s="111" customFormat="1">
      <c r="A53" s="109"/>
      <c r="B53" s="110"/>
      <c r="C53" s="110"/>
      <c r="D53" s="110"/>
      <c r="E53" s="580"/>
      <c r="F53" s="580"/>
      <c r="N53" s="109"/>
      <c r="O53" s="110"/>
      <c r="P53" s="110"/>
      <c r="Q53" s="110"/>
      <c r="R53" s="580"/>
      <c r="AA53" s="109"/>
      <c r="AB53" s="110"/>
      <c r="AC53" s="110"/>
      <c r="AD53" s="110"/>
      <c r="AE53" s="580"/>
      <c r="AF53" s="580"/>
      <c r="AN53" s="109"/>
      <c r="AO53" s="110"/>
      <c r="AP53" s="110"/>
      <c r="AQ53" s="110"/>
      <c r="AR53" s="580"/>
    </row>
    <row r="54" spans="1:52">
      <c r="B54" s="1540" t="s">
        <v>117</v>
      </c>
      <c r="C54" s="1540"/>
      <c r="D54" s="1540"/>
      <c r="E54" s="1540"/>
      <c r="I54" s="1542" t="s">
        <v>144</v>
      </c>
      <c r="J54" s="1542"/>
      <c r="K54" s="1542"/>
      <c r="L54" s="1542"/>
      <c r="O54" s="1542" t="s">
        <v>144</v>
      </c>
      <c r="P54" s="1542"/>
      <c r="Q54" s="1542"/>
      <c r="R54" s="1542"/>
      <c r="V54" s="1540" t="s">
        <v>117</v>
      </c>
      <c r="W54" s="1540"/>
      <c r="X54" s="1540"/>
      <c r="Y54" s="1540"/>
      <c r="AB54" s="1540" t="s">
        <v>117</v>
      </c>
      <c r="AC54" s="1540"/>
      <c r="AD54" s="1540"/>
      <c r="AE54" s="1540"/>
      <c r="AI54" s="1542" t="s">
        <v>144</v>
      </c>
      <c r="AJ54" s="1542"/>
      <c r="AK54" s="1542"/>
      <c r="AL54" s="1542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:52" ht="15.75">
      <c r="B55" s="469">
        <v>1</v>
      </c>
      <c r="C55" s="470">
        <v>2</v>
      </c>
      <c r="D55" s="471">
        <v>3</v>
      </c>
      <c r="E55" s="872">
        <v>4</v>
      </c>
      <c r="F55" s="113">
        <f>IF(COUNTIF(F57:F67,"&gt;37")=0,0,COUNTIF(F57:F67,"&gt;37")-1)</f>
        <v>4</v>
      </c>
      <c r="H55" s="918">
        <v>1</v>
      </c>
      <c r="I55" s="946">
        <v>1</v>
      </c>
      <c r="J55" s="947">
        <v>2</v>
      </c>
      <c r="K55" s="948">
        <v>3</v>
      </c>
      <c r="L55" s="949">
        <v>4</v>
      </c>
      <c r="O55" s="946">
        <v>1</v>
      </c>
      <c r="P55" s="947">
        <v>2</v>
      </c>
      <c r="Q55" s="948">
        <v>3</v>
      </c>
      <c r="R55" s="949">
        <v>4</v>
      </c>
      <c r="S55" s="113">
        <f>IF(COUNTIF(S57:S67,"&gt;37")=0,0,COUNTIF(S57:S67,"&gt;37")-1)</f>
        <v>0</v>
      </c>
      <c r="U55" s="113">
        <f>IF(COUNTIF(U57:U67,"&gt;37")=0,0,COUNTIF(U57:U67,"&gt;37")-1)</f>
        <v>3</v>
      </c>
      <c r="V55" s="469">
        <v>1</v>
      </c>
      <c r="W55" s="470">
        <v>2</v>
      </c>
      <c r="X55" s="471">
        <v>3</v>
      </c>
      <c r="Y55" s="872">
        <v>4</v>
      </c>
      <c r="AB55" s="469">
        <v>1</v>
      </c>
      <c r="AC55" s="470">
        <v>2</v>
      </c>
      <c r="AD55" s="471">
        <v>3</v>
      </c>
      <c r="AE55" s="872">
        <v>4</v>
      </c>
      <c r="AF55" s="113">
        <f>IF(COUNTIF(AF57:AF67,"&gt;37")=0,0,COUNTIF(AF57:AF67,"&gt;37")-1)</f>
        <v>1</v>
      </c>
      <c r="AH55" s="113">
        <f>IF(COUNTIF(AH57:AH67,"&gt;37")=0,0,COUNTIF(AH57:AH67,"&gt;37")-1)</f>
        <v>0</v>
      </c>
      <c r="AI55" s="946">
        <v>1</v>
      </c>
      <c r="AJ55" s="947">
        <v>2</v>
      </c>
      <c r="AK55" s="948">
        <v>3</v>
      </c>
      <c r="AL55" s="949">
        <v>4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:52" s="596" customFormat="1" ht="60.75">
      <c r="A56" s="591"/>
      <c r="B56" s="476" t="s">
        <v>120</v>
      </c>
      <c r="C56" s="475" t="s">
        <v>121</v>
      </c>
      <c r="D56" s="475" t="s">
        <v>118</v>
      </c>
      <c r="E56" s="473" t="s">
        <v>119</v>
      </c>
      <c r="F56" s="928"/>
      <c r="G56" s="593"/>
      <c r="I56" s="950" t="s">
        <v>132</v>
      </c>
      <c r="J56" s="951" t="s">
        <v>135</v>
      </c>
      <c r="K56" s="952" t="s">
        <v>136</v>
      </c>
      <c r="L56" s="953" t="s">
        <v>137</v>
      </c>
      <c r="M56" s="641"/>
      <c r="N56" s="591"/>
      <c r="O56" s="950" t="s">
        <v>53</v>
      </c>
      <c r="P56" s="951" t="s">
        <v>137</v>
      </c>
      <c r="Q56" s="952" t="s">
        <v>135</v>
      </c>
      <c r="R56" s="953" t="s">
        <v>136</v>
      </c>
      <c r="S56" s="593"/>
      <c r="T56" s="593"/>
      <c r="U56" s="593"/>
      <c r="V56" s="475" t="s">
        <v>121</v>
      </c>
      <c r="W56" s="475" t="s">
        <v>118</v>
      </c>
      <c r="X56" s="473" t="s">
        <v>119</v>
      </c>
      <c r="Y56" s="476" t="s">
        <v>120</v>
      </c>
      <c r="Z56" s="641"/>
      <c r="AA56" s="591"/>
      <c r="AB56" s="476" t="s">
        <v>120</v>
      </c>
      <c r="AC56" s="475" t="s">
        <v>121</v>
      </c>
      <c r="AD56" s="475" t="s">
        <v>118</v>
      </c>
      <c r="AE56" s="473" t="s">
        <v>119</v>
      </c>
      <c r="AF56" s="928"/>
      <c r="AG56" s="593"/>
      <c r="AI56" s="950" t="s">
        <v>132</v>
      </c>
      <c r="AJ56" s="951" t="s">
        <v>53</v>
      </c>
      <c r="AK56" s="952" t="s">
        <v>135</v>
      </c>
      <c r="AL56" s="953" t="s">
        <v>136</v>
      </c>
      <c r="AM56" s="641"/>
      <c r="AZ56" s="641"/>
    </row>
    <row r="57" spans="1:52" ht="15.75">
      <c r="A57" s="118">
        <v>1</v>
      </c>
      <c r="B57" s="108">
        <v>12</v>
      </c>
      <c r="C57" s="117"/>
      <c r="D57" s="117"/>
      <c r="E57" s="119"/>
      <c r="F57" s="120">
        <f>SUM($B$57:E57)</f>
        <v>12</v>
      </c>
      <c r="G57" s="944">
        <f>F57-H57</f>
        <v>3</v>
      </c>
      <c r="H57" s="120">
        <f>SUM($I$57:L57)</f>
        <v>9</v>
      </c>
      <c r="I57" s="121">
        <v>9</v>
      </c>
      <c r="J57" s="117"/>
      <c r="K57" s="117"/>
      <c r="L57" s="107"/>
      <c r="N57" s="118">
        <v>1</v>
      </c>
      <c r="O57" s="108">
        <v>8</v>
      </c>
      <c r="P57" s="117"/>
      <c r="Q57" s="117"/>
      <c r="R57" s="119"/>
      <c r="S57" s="120">
        <f>SUM($O$57:R57)</f>
        <v>8</v>
      </c>
      <c r="T57" s="944">
        <f>S57-U57</f>
        <v>1</v>
      </c>
      <c r="U57" s="120">
        <f>SUM($V$57:Y57)</f>
        <v>7</v>
      </c>
      <c r="V57" s="121">
        <v>7</v>
      </c>
      <c r="W57" s="117"/>
      <c r="X57" s="117"/>
      <c r="Y57" s="107"/>
      <c r="AA57" s="118">
        <v>1</v>
      </c>
      <c r="AB57" s="108">
        <v>12</v>
      </c>
      <c r="AC57" s="117"/>
      <c r="AD57" s="117"/>
      <c r="AE57" s="119"/>
      <c r="AF57" s="120">
        <f>SUM($AB$57:AE57)</f>
        <v>12</v>
      </c>
      <c r="AG57" s="944">
        <f t="shared" ref="AG57:AG64" si="8">AF57-AH57</f>
        <v>6</v>
      </c>
      <c r="AH57" s="120">
        <f>SUM($AI$57:AL57)</f>
        <v>6</v>
      </c>
      <c r="AI57" s="121">
        <v>6</v>
      </c>
      <c r="AJ57" s="117"/>
      <c r="AK57" s="117"/>
      <c r="AL57" s="107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:52" ht="15.75">
      <c r="A58" s="122">
        <v>2</v>
      </c>
      <c r="B58" s="117"/>
      <c r="C58" s="108">
        <v>9</v>
      </c>
      <c r="D58" s="117"/>
      <c r="E58" s="114"/>
      <c r="F58" s="120">
        <f>SUM($B$57:E58)</f>
        <v>21</v>
      </c>
      <c r="G58" s="944">
        <f>F58-H58</f>
        <v>3</v>
      </c>
      <c r="H58" s="120">
        <f>SUM($I$57:L58)</f>
        <v>18</v>
      </c>
      <c r="I58" s="123"/>
      <c r="J58" s="108">
        <v>9</v>
      </c>
      <c r="K58" s="117"/>
      <c r="L58" s="117"/>
      <c r="N58" s="122">
        <v>2</v>
      </c>
      <c r="O58" s="117"/>
      <c r="P58" s="108">
        <v>1</v>
      </c>
      <c r="Q58" s="117"/>
      <c r="R58" s="114"/>
      <c r="S58" s="120">
        <f>SUM($O$57:R58)</f>
        <v>9</v>
      </c>
      <c r="T58" s="944">
        <f>S58-U58</f>
        <v>-3</v>
      </c>
      <c r="U58" s="120">
        <f>SUM($V$57:Y58)</f>
        <v>12</v>
      </c>
      <c r="V58" s="123"/>
      <c r="W58" s="108">
        <v>5</v>
      </c>
      <c r="X58" s="117"/>
      <c r="Y58" s="117"/>
      <c r="AA58" s="122">
        <v>2</v>
      </c>
      <c r="AB58" s="117"/>
      <c r="AC58" s="108">
        <v>6</v>
      </c>
      <c r="AD58" s="117"/>
      <c r="AE58" s="114"/>
      <c r="AF58" s="120">
        <f>SUM($AB$57:AE58)</f>
        <v>18</v>
      </c>
      <c r="AG58" s="944">
        <f t="shared" si="8"/>
        <v>6</v>
      </c>
      <c r="AH58" s="120">
        <f>SUM($AI$57:AL58)</f>
        <v>12</v>
      </c>
      <c r="AI58" s="123"/>
      <c r="AJ58" s="108">
        <v>6</v>
      </c>
      <c r="AK58" s="117"/>
      <c r="AL58" s="117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:52" ht="15.75">
      <c r="A59" s="118">
        <v>3</v>
      </c>
      <c r="B59" s="108"/>
      <c r="C59" s="117"/>
      <c r="D59" s="117">
        <v>6</v>
      </c>
      <c r="E59" s="119"/>
      <c r="F59" s="120">
        <f>SUM($B$57:E59)</f>
        <v>27</v>
      </c>
      <c r="G59" s="944">
        <f>F59-H59</f>
        <v>3</v>
      </c>
      <c r="H59" s="120">
        <f>SUM($I$57:L59)</f>
        <v>24</v>
      </c>
      <c r="I59" s="121"/>
      <c r="J59" s="117"/>
      <c r="K59" s="117">
        <v>6</v>
      </c>
      <c r="L59" s="107"/>
      <c r="N59" s="118">
        <v>3</v>
      </c>
      <c r="O59" s="108"/>
      <c r="P59" s="117"/>
      <c r="Q59" s="117">
        <v>7</v>
      </c>
      <c r="R59" s="119"/>
      <c r="S59" s="120">
        <f>SUM($O$57:R59)</f>
        <v>16</v>
      </c>
      <c r="T59" s="944">
        <f>S59-U59</f>
        <v>-2</v>
      </c>
      <c r="U59" s="120">
        <f>SUM($V$57:Y59)</f>
        <v>18</v>
      </c>
      <c r="V59" s="121"/>
      <c r="W59" s="117"/>
      <c r="X59" s="117">
        <v>6</v>
      </c>
      <c r="Y59" s="107"/>
      <c r="AA59" s="118">
        <v>3</v>
      </c>
      <c r="AB59" s="108"/>
      <c r="AC59" s="117"/>
      <c r="AD59" s="117">
        <v>5</v>
      </c>
      <c r="AE59" s="119"/>
      <c r="AF59" s="120">
        <f>SUM($AB$57:AE59)</f>
        <v>23</v>
      </c>
      <c r="AG59" s="944">
        <f t="shared" si="8"/>
        <v>6</v>
      </c>
      <c r="AH59" s="120">
        <f>SUM($AI$57:AL59)</f>
        <v>17</v>
      </c>
      <c r="AI59" s="121"/>
      <c r="AJ59" s="117"/>
      <c r="AK59" s="117">
        <v>5</v>
      </c>
      <c r="AL59" s="107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:52" ht="15.75">
      <c r="A60" s="122">
        <v>4</v>
      </c>
      <c r="B60" s="117"/>
      <c r="C60" s="108"/>
      <c r="D60" s="117"/>
      <c r="E60" s="114">
        <v>5</v>
      </c>
      <c r="F60" s="120">
        <f>SUM($B$57:E60)</f>
        <v>32</v>
      </c>
      <c r="G60" s="944">
        <f t="shared" ref="G60:G65" si="9">F60-H60</f>
        <v>2</v>
      </c>
      <c r="H60" s="120">
        <f>SUM($I$57:L60)</f>
        <v>30</v>
      </c>
      <c r="I60" s="123"/>
      <c r="J60" s="108"/>
      <c r="K60" s="117"/>
      <c r="L60" s="117">
        <v>6</v>
      </c>
      <c r="N60" s="122">
        <v>4</v>
      </c>
      <c r="O60" s="117"/>
      <c r="P60" s="108"/>
      <c r="Q60" s="117"/>
      <c r="R60" s="114">
        <v>10</v>
      </c>
      <c r="S60" s="120">
        <f>SUM($O$57:R60)</f>
        <v>26</v>
      </c>
      <c r="T60" s="944">
        <f t="shared" ref="T60:T67" si="10">S60-U60</f>
        <v>8</v>
      </c>
      <c r="U60" s="120">
        <f>SUM($V$57:Y60)</f>
        <v>18</v>
      </c>
      <c r="V60" s="123"/>
      <c r="W60" s="108"/>
      <c r="X60" s="117"/>
      <c r="Y60" s="117" t="s">
        <v>2</v>
      </c>
      <c r="AA60" s="122">
        <v>4</v>
      </c>
      <c r="AB60" s="117"/>
      <c r="AC60" s="108"/>
      <c r="AD60" s="117"/>
      <c r="AE60" s="114">
        <v>6</v>
      </c>
      <c r="AF60" s="120">
        <f>SUM($AB$57:AE60)</f>
        <v>29</v>
      </c>
      <c r="AG60" s="944">
        <f t="shared" si="8"/>
        <v>9</v>
      </c>
      <c r="AH60" s="120">
        <f>SUM($AI$57:AL60)</f>
        <v>20</v>
      </c>
      <c r="AI60" s="123"/>
      <c r="AJ60" s="108"/>
      <c r="AK60" s="117"/>
      <c r="AL60" s="117">
        <v>3</v>
      </c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:52" ht="15.75">
      <c r="A61" s="118">
        <v>5</v>
      </c>
      <c r="B61" s="108">
        <v>6</v>
      </c>
      <c r="C61" s="117"/>
      <c r="D61" s="117"/>
      <c r="E61" s="119"/>
      <c r="F61" s="120">
        <f>SUM($B$57:E61)</f>
        <v>38</v>
      </c>
      <c r="G61" s="944">
        <f t="shared" si="9"/>
        <v>8</v>
      </c>
      <c r="H61" s="120">
        <f>SUM($I$57:L61)</f>
        <v>30</v>
      </c>
      <c r="I61" s="121" t="s">
        <v>2</v>
      </c>
      <c r="J61" s="117"/>
      <c r="K61" s="117"/>
      <c r="L61" s="107"/>
      <c r="N61" s="118">
        <v>5</v>
      </c>
      <c r="O61" s="108" t="s">
        <v>2</v>
      </c>
      <c r="P61" s="117"/>
      <c r="Q61" s="117"/>
      <c r="R61" s="119"/>
      <c r="S61" s="120">
        <f>SUM($O$57:R61)</f>
        <v>26</v>
      </c>
      <c r="T61" s="944">
        <f t="shared" si="10"/>
        <v>-2</v>
      </c>
      <c r="U61" s="120">
        <f>SUM($V$57:Y61)</f>
        <v>28</v>
      </c>
      <c r="V61" s="121">
        <v>10</v>
      </c>
      <c r="W61" s="117"/>
      <c r="X61" s="117"/>
      <c r="Y61" s="107"/>
      <c r="AA61" s="118">
        <v>5</v>
      </c>
      <c r="AB61" s="108">
        <v>8</v>
      </c>
      <c r="AC61" s="117"/>
      <c r="AD61" s="117"/>
      <c r="AE61" s="119"/>
      <c r="AF61" s="120">
        <f>SUM($AB$57:AE61)</f>
        <v>37</v>
      </c>
      <c r="AG61" s="944">
        <f t="shared" si="8"/>
        <v>11</v>
      </c>
      <c r="AH61" s="120">
        <f>SUM($AI$57:AL61)</f>
        <v>26</v>
      </c>
      <c r="AI61" s="121">
        <v>6</v>
      </c>
      <c r="AJ61" s="117"/>
      <c r="AK61" s="117"/>
      <c r="AL61" s="107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:52" ht="15.75">
      <c r="A62" s="122">
        <v>6</v>
      </c>
      <c r="B62" s="117"/>
      <c r="C62" s="108">
        <v>3</v>
      </c>
      <c r="D62" s="117"/>
      <c r="E62" s="114"/>
      <c r="F62" s="120">
        <f>SUM($B$57:E62)</f>
        <v>41</v>
      </c>
      <c r="G62" s="944">
        <f t="shared" si="9"/>
        <v>8</v>
      </c>
      <c r="H62" s="120">
        <f>SUM($I$57:L62)</f>
        <v>33</v>
      </c>
      <c r="I62" s="123"/>
      <c r="J62" s="108">
        <v>3</v>
      </c>
      <c r="K62" s="117"/>
      <c r="L62" s="117"/>
      <c r="N62" s="122">
        <v>6</v>
      </c>
      <c r="O62" s="117"/>
      <c r="P62" s="108" t="s">
        <v>2</v>
      </c>
      <c r="Q62" s="117"/>
      <c r="R62" s="114"/>
      <c r="S62" s="120">
        <f>SUM($O$57:R62)</f>
        <v>26</v>
      </c>
      <c r="T62" s="944">
        <f t="shared" si="10"/>
        <v>-2</v>
      </c>
      <c r="U62" s="120">
        <f>SUM($V$57:Y62)</f>
        <v>28</v>
      </c>
      <c r="V62" s="123"/>
      <c r="W62" s="108" t="s">
        <v>2</v>
      </c>
      <c r="X62" s="117"/>
      <c r="Y62" s="117"/>
      <c r="AA62" s="122">
        <v>6</v>
      </c>
      <c r="AB62" s="117"/>
      <c r="AC62" s="108" t="s">
        <v>2</v>
      </c>
      <c r="AD62" s="117"/>
      <c r="AE62" s="114"/>
      <c r="AF62" s="120">
        <f>SUM($AB$57:AE62)</f>
        <v>37</v>
      </c>
      <c r="AG62" s="944">
        <f t="shared" si="8"/>
        <v>11</v>
      </c>
      <c r="AH62" s="120">
        <f>SUM($AI$57:AL62)</f>
        <v>26</v>
      </c>
      <c r="AI62" s="123"/>
      <c r="AJ62" s="108" t="s">
        <v>2</v>
      </c>
      <c r="AK62" s="117"/>
      <c r="AL62" s="117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:52" ht="15.75">
      <c r="A63" s="118">
        <v>7</v>
      </c>
      <c r="B63" s="108"/>
      <c r="C63" s="117"/>
      <c r="D63" s="117" t="s">
        <v>2</v>
      </c>
      <c r="E63" s="119"/>
      <c r="F63" s="120">
        <f>SUM($B$57:E63)</f>
        <v>41</v>
      </c>
      <c r="G63" s="944">
        <f t="shared" si="9"/>
        <v>-1</v>
      </c>
      <c r="H63" s="120">
        <f>SUM($I$57:L63)</f>
        <v>42</v>
      </c>
      <c r="I63" s="121"/>
      <c r="J63" s="117"/>
      <c r="K63" s="117">
        <v>9</v>
      </c>
      <c r="L63" s="107"/>
      <c r="N63" s="118">
        <v>7</v>
      </c>
      <c r="O63" s="108"/>
      <c r="P63" s="117"/>
      <c r="Q63" s="954">
        <v>6</v>
      </c>
      <c r="R63" s="119"/>
      <c r="S63" s="120">
        <f>SUM($O$57:R63)</f>
        <v>32</v>
      </c>
      <c r="T63" s="944">
        <f t="shared" si="10"/>
        <v>-4</v>
      </c>
      <c r="U63" s="120">
        <f>SUM($V$57:Y63)</f>
        <v>36</v>
      </c>
      <c r="V63" s="121"/>
      <c r="W63" s="117"/>
      <c r="X63" s="117">
        <v>8</v>
      </c>
      <c r="Y63" s="107"/>
      <c r="AA63" s="118">
        <v>7</v>
      </c>
      <c r="AB63" s="108"/>
      <c r="AC63" s="117"/>
      <c r="AD63" s="117">
        <v>8</v>
      </c>
      <c r="AE63" s="119"/>
      <c r="AF63" s="120">
        <f>SUM($AB$57:AE63)</f>
        <v>45</v>
      </c>
      <c r="AG63" s="944">
        <f t="shared" si="8"/>
        <v>14</v>
      </c>
      <c r="AH63" s="120">
        <f>SUM($AI$57:AL63)</f>
        <v>31</v>
      </c>
      <c r="AI63" s="121"/>
      <c r="AJ63" s="117"/>
      <c r="AK63" s="117">
        <v>5</v>
      </c>
      <c r="AL63" s="107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:52" ht="15.75">
      <c r="A64" s="122">
        <v>8</v>
      </c>
      <c r="B64" s="117"/>
      <c r="C64" s="108"/>
      <c r="D64" s="117"/>
      <c r="E64" s="114">
        <v>2</v>
      </c>
      <c r="F64" s="120">
        <f>SUM($B$57:E64)</f>
        <v>43</v>
      </c>
      <c r="G64" s="944">
        <f t="shared" si="9"/>
        <v>1</v>
      </c>
      <c r="H64" s="120">
        <f>SUM($I$57:L64)</f>
        <v>42</v>
      </c>
      <c r="I64" s="123"/>
      <c r="J64" s="108"/>
      <c r="K64" s="117"/>
      <c r="L64" s="117" t="s">
        <v>2</v>
      </c>
      <c r="N64" s="122">
        <v>8</v>
      </c>
      <c r="O64" s="117"/>
      <c r="P64" s="108"/>
      <c r="Q64" s="117"/>
      <c r="R64" s="114" t="s">
        <v>2</v>
      </c>
      <c r="S64" s="120">
        <f>SUM($O$57:R64)</f>
        <v>32</v>
      </c>
      <c r="T64" s="944">
        <f t="shared" si="10"/>
        <v>-6</v>
      </c>
      <c r="U64" s="120">
        <f>SUM($V$57:Y64)</f>
        <v>38</v>
      </c>
      <c r="V64" s="123"/>
      <c r="W64" s="108"/>
      <c r="X64" s="117"/>
      <c r="Y64" s="117">
        <v>2</v>
      </c>
      <c r="AA64" s="122">
        <v>8</v>
      </c>
      <c r="AB64" s="117"/>
      <c r="AC64" s="108"/>
      <c r="AD64" s="117"/>
      <c r="AE64" s="1431">
        <v>5</v>
      </c>
      <c r="AF64" s="120">
        <f>SUM($AB$57:AE64)</f>
        <v>50</v>
      </c>
      <c r="AG64" s="944">
        <f t="shared" si="8"/>
        <v>19</v>
      </c>
      <c r="AH64" s="120">
        <f>SUM($AI$57:AL64)</f>
        <v>31</v>
      </c>
      <c r="AI64" s="123"/>
      <c r="AJ64" s="108"/>
      <c r="AK64" s="117"/>
      <c r="AL64" s="117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  <row r="65" spans="1:65" ht="15.75">
      <c r="A65" s="118">
        <v>9</v>
      </c>
      <c r="B65" s="565">
        <v>7</v>
      </c>
      <c r="C65" s="117"/>
      <c r="D65" s="117"/>
      <c r="E65" s="119"/>
      <c r="F65" s="120">
        <f>SUM($B$57:E65)</f>
        <v>50</v>
      </c>
      <c r="G65" s="944">
        <f t="shared" si="9"/>
        <v>8</v>
      </c>
      <c r="H65" s="120">
        <f>SUM($I$57:L65)</f>
        <v>42</v>
      </c>
      <c r="I65" s="121"/>
      <c r="J65" s="117"/>
      <c r="K65" s="117"/>
      <c r="L65" s="107"/>
      <c r="N65" s="118">
        <v>9</v>
      </c>
      <c r="O65" s="108" t="s">
        <v>2</v>
      </c>
      <c r="P65" s="117"/>
      <c r="Q65" s="117"/>
      <c r="R65" s="119"/>
      <c r="S65" s="120">
        <f>SUM($O$57:R65)</f>
        <v>32</v>
      </c>
      <c r="T65" s="944">
        <f t="shared" si="10"/>
        <v>-6</v>
      </c>
      <c r="U65" s="120">
        <f>SUM($V$57:Y65)</f>
        <v>38</v>
      </c>
      <c r="V65" s="121" t="s">
        <v>2</v>
      </c>
      <c r="W65" s="117"/>
      <c r="X65" s="117"/>
      <c r="Y65" s="107"/>
      <c r="AC65" s="583"/>
      <c r="AI65" s="582"/>
      <c r="AJ65" s="583"/>
      <c r="AK65" s="582"/>
      <c r="AL65" s="583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</row>
    <row r="66" spans="1:65" ht="15.75">
      <c r="C66" s="583"/>
      <c r="I66" s="582"/>
      <c r="J66" s="583"/>
      <c r="K66" s="582"/>
      <c r="L66" s="583"/>
      <c r="N66" s="122">
        <v>10</v>
      </c>
      <c r="O66" s="117"/>
      <c r="P66" s="652">
        <v>2</v>
      </c>
      <c r="Q66" s="117"/>
      <c r="R66" s="114"/>
      <c r="S66" s="120">
        <f>SUM($O$57:R66)</f>
        <v>34</v>
      </c>
      <c r="T66" s="944">
        <f t="shared" si="10"/>
        <v>-6</v>
      </c>
      <c r="U66" s="120">
        <f>SUM($V$57:Y66)</f>
        <v>40</v>
      </c>
      <c r="V66" s="123"/>
      <c r="W66" s="108">
        <v>2</v>
      </c>
      <c r="X66" s="117"/>
      <c r="Y66" s="117"/>
      <c r="AC66" s="583"/>
      <c r="AI66" s="582"/>
      <c r="AJ66" s="583"/>
      <c r="AK66" s="582"/>
      <c r="AL66" s="583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</row>
    <row r="67" spans="1:65" ht="15.75">
      <c r="C67" s="583"/>
      <c r="I67" s="582"/>
      <c r="J67" s="583"/>
      <c r="K67" s="582"/>
      <c r="L67" s="583"/>
      <c r="N67" s="118">
        <v>11</v>
      </c>
      <c r="O67" s="108"/>
      <c r="P67" s="117"/>
      <c r="Q67" s="117">
        <v>7</v>
      </c>
      <c r="R67" s="119"/>
      <c r="S67" s="120">
        <f>SUM($O$57:R67)</f>
        <v>41</v>
      </c>
      <c r="T67" s="944">
        <f t="shared" si="10"/>
        <v>-9</v>
      </c>
      <c r="U67" s="120">
        <f>SUM($V$57:Y67)</f>
        <v>50</v>
      </c>
      <c r="V67" s="121"/>
      <c r="W67" s="117"/>
      <c r="X67" s="565">
        <v>10</v>
      </c>
      <c r="Y67" s="107"/>
      <c r="AC67" s="583"/>
      <c r="AI67" s="582"/>
      <c r="AJ67" s="583"/>
      <c r="AK67" s="582"/>
      <c r="AL67" s="583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</row>
    <row r="68" spans="1:65">
      <c r="C68" s="583"/>
      <c r="I68" s="582"/>
      <c r="J68" s="583"/>
      <c r="K68" s="582"/>
      <c r="L68" s="583"/>
      <c r="P68" s="583"/>
      <c r="S68" s="583"/>
      <c r="V68" s="582"/>
      <c r="W68" s="583"/>
      <c r="X68" s="582"/>
      <c r="Y68" s="583"/>
      <c r="AC68" s="583"/>
      <c r="AI68" s="582"/>
      <c r="AJ68" s="583"/>
      <c r="AK68" s="582"/>
      <c r="AL68" s="583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</row>
    <row r="69" spans="1:65" ht="15.75">
      <c r="A69" s="126" t="s">
        <v>3</v>
      </c>
      <c r="B69" s="584">
        <f>SUM(B57:B68)</f>
        <v>25</v>
      </c>
      <c r="C69" s="108">
        <f>SUM(C57:C68)</f>
        <v>12</v>
      </c>
      <c r="D69" s="108">
        <f>SUM(D57:D68)</f>
        <v>6</v>
      </c>
      <c r="E69" s="584">
        <f>SUM(E57:E68)</f>
        <v>7</v>
      </c>
      <c r="F69" s="127">
        <f>MAX(F57:F67)</f>
        <v>50</v>
      </c>
      <c r="H69" s="127">
        <f>MAX(H57:H67)</f>
        <v>42</v>
      </c>
      <c r="I69" s="108">
        <f>SUM(I57:I68)</f>
        <v>9</v>
      </c>
      <c r="J69" s="108">
        <f>SUM(J57:J68)</f>
        <v>12</v>
      </c>
      <c r="K69" s="108">
        <f>SUM(K57:K68)</f>
        <v>15</v>
      </c>
      <c r="L69" s="108">
        <f>SUM(L57:L68)</f>
        <v>6</v>
      </c>
      <c r="N69" s="126" t="s">
        <v>3</v>
      </c>
      <c r="O69" s="108">
        <f>SUM(O57:O68)</f>
        <v>8</v>
      </c>
      <c r="P69" s="108">
        <f>SUM(P57:P68)</f>
        <v>3</v>
      </c>
      <c r="Q69" s="108">
        <f>SUM(Q57:Q68)</f>
        <v>20</v>
      </c>
      <c r="R69" s="108">
        <f>SUM(R57:R68)</f>
        <v>10</v>
      </c>
      <c r="S69" s="127">
        <f>MAX(S57:S67)</f>
        <v>41</v>
      </c>
      <c r="U69" s="127">
        <f>MAX(U57:U67)</f>
        <v>50</v>
      </c>
      <c r="V69" s="584">
        <f>SUM(V57:V68)</f>
        <v>17</v>
      </c>
      <c r="W69" s="108">
        <f>SUM(W57:W68)</f>
        <v>7</v>
      </c>
      <c r="X69" s="584">
        <f>SUM(X57:X68)</f>
        <v>24</v>
      </c>
      <c r="Y69" s="584">
        <f>SUM(Y57:Y68)</f>
        <v>2</v>
      </c>
      <c r="AA69" s="126" t="s">
        <v>3</v>
      </c>
      <c r="AB69" s="584">
        <f>SUM(AB57:AB68)</f>
        <v>20</v>
      </c>
      <c r="AC69" s="108">
        <f>SUM(AC57:AC68)</f>
        <v>6</v>
      </c>
      <c r="AD69" s="108">
        <f>SUM(AD57:AD68)</f>
        <v>13</v>
      </c>
      <c r="AE69" s="584">
        <f>SUM(AE57:AE68)</f>
        <v>11</v>
      </c>
      <c r="AF69" s="127">
        <f>MAX(AF57:AF67)</f>
        <v>50</v>
      </c>
      <c r="AH69" s="127">
        <f>MAX(AH57:AH67)</f>
        <v>31</v>
      </c>
      <c r="AI69" s="108">
        <f>SUM(AI57:AI68)</f>
        <v>12</v>
      </c>
      <c r="AJ69" s="108">
        <f>SUM(AJ57:AJ68)</f>
        <v>6</v>
      </c>
      <c r="AK69" s="108">
        <f>SUM(AK57:AK68)</f>
        <v>10</v>
      </c>
      <c r="AL69" s="108">
        <f>SUM(AL57:AL68)</f>
        <v>3</v>
      </c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</row>
    <row r="70" spans="1:65" ht="15.75">
      <c r="A70" s="128" t="s">
        <v>4</v>
      </c>
      <c r="B70" s="117">
        <f>COUNTA(B57:B68)</f>
        <v>3</v>
      </c>
      <c r="C70" s="117">
        <f>COUNTA(C57:C68)</f>
        <v>2</v>
      </c>
      <c r="D70" s="117">
        <f>COUNTA(D57:D68)</f>
        <v>2</v>
      </c>
      <c r="E70" s="117">
        <f>COUNTA(E57:E68)</f>
        <v>2</v>
      </c>
      <c r="F70" s="127">
        <f>SUM(B70:E70)</f>
        <v>9</v>
      </c>
      <c r="H70" s="127">
        <f>SUM(I70:L70)</f>
        <v>8</v>
      </c>
      <c r="I70" s="117">
        <f>COUNTA(I57:I68)</f>
        <v>2</v>
      </c>
      <c r="J70" s="117">
        <f>COUNTA(J57:J68)</f>
        <v>2</v>
      </c>
      <c r="K70" s="117">
        <f>COUNTA(K57:K68)</f>
        <v>2</v>
      </c>
      <c r="L70" s="117">
        <f>COUNTA(L57:L68)</f>
        <v>2</v>
      </c>
      <c r="N70" s="128" t="s">
        <v>4</v>
      </c>
      <c r="O70" s="117">
        <f>COUNTA(O57:O68)</f>
        <v>3</v>
      </c>
      <c r="P70" s="117">
        <f>COUNTA(P57:P68)</f>
        <v>3</v>
      </c>
      <c r="Q70" s="117">
        <f>COUNTA(Q57:Q68)</f>
        <v>3</v>
      </c>
      <c r="R70" s="117">
        <f>COUNTA(R57:R68)</f>
        <v>2</v>
      </c>
      <c r="S70" s="127">
        <f>SUM(O70:R70)</f>
        <v>11</v>
      </c>
      <c r="U70" s="127">
        <f>SUM(V70:Y70)</f>
        <v>11</v>
      </c>
      <c r="V70" s="117">
        <f>COUNTA(V57:V68)</f>
        <v>3</v>
      </c>
      <c r="W70" s="117">
        <f>COUNTA(W57:W68)</f>
        <v>3</v>
      </c>
      <c r="X70" s="117">
        <f>COUNTA(X57:X68)</f>
        <v>3</v>
      </c>
      <c r="Y70" s="117">
        <f>COUNTA(Y57:Y68)</f>
        <v>2</v>
      </c>
      <c r="AA70" s="128" t="s">
        <v>4</v>
      </c>
      <c r="AB70" s="117">
        <f>COUNTA(AB57:AB68)</f>
        <v>2</v>
      </c>
      <c r="AC70" s="117">
        <f>COUNTA(AC57:AC68)</f>
        <v>2</v>
      </c>
      <c r="AD70" s="117">
        <f>COUNTA(AD57:AD68)</f>
        <v>2</v>
      </c>
      <c r="AE70" s="117">
        <f>COUNTA(AE57:AE68)</f>
        <v>2</v>
      </c>
      <c r="AF70" s="127">
        <f>SUM(AB70:AE70)</f>
        <v>8</v>
      </c>
      <c r="AH70" s="127">
        <f>SUM(AI70:AL70)</f>
        <v>7</v>
      </c>
      <c r="AI70" s="117">
        <f>COUNTA(AI57:AI68)</f>
        <v>2</v>
      </c>
      <c r="AJ70" s="117">
        <f>COUNTA(AJ57:AJ68)</f>
        <v>2</v>
      </c>
      <c r="AK70" s="117">
        <f>COUNTA(AK57:AK68)</f>
        <v>2</v>
      </c>
      <c r="AL70" s="117">
        <f>COUNTA(AL57:AL68)</f>
        <v>1</v>
      </c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</row>
    <row r="71" spans="1:65" ht="15.75">
      <c r="A71" s="126" t="s">
        <v>6</v>
      </c>
      <c r="B71" s="584">
        <f>B70-COUNT(B57:B68)</f>
        <v>0</v>
      </c>
      <c r="C71" s="584">
        <f>C70-COUNT(C57:C68)</f>
        <v>0</v>
      </c>
      <c r="D71" s="108">
        <f>D70-COUNT(D57:D68)</f>
        <v>1</v>
      </c>
      <c r="E71" s="108">
        <f>E70-COUNT(E57:E68)</f>
        <v>0</v>
      </c>
      <c r="F71" s="127">
        <f>SUM(B71:E71)</f>
        <v>1</v>
      </c>
      <c r="H71" s="127">
        <f>SUM(I71:L71)</f>
        <v>2</v>
      </c>
      <c r="I71" s="108">
        <f>I70-COUNT(I57:I68)</f>
        <v>1</v>
      </c>
      <c r="J71" s="108">
        <f>J70-COUNT(J57:J68)</f>
        <v>0</v>
      </c>
      <c r="K71" s="108">
        <f>K70-COUNT(K57:K68)</f>
        <v>0</v>
      </c>
      <c r="L71" s="108">
        <f>L70-COUNT(L57:L68)</f>
        <v>1</v>
      </c>
      <c r="N71" s="126" t="s">
        <v>6</v>
      </c>
      <c r="O71" s="108">
        <f>O70-COUNT(O57:O68)</f>
        <v>2</v>
      </c>
      <c r="P71" s="108">
        <f>P70-COUNT(P57:P68)</f>
        <v>1</v>
      </c>
      <c r="Q71" s="108">
        <f>Q70-COUNT(Q57:Q68)</f>
        <v>0</v>
      </c>
      <c r="R71" s="108">
        <f>R70-COUNT(R57:R68)</f>
        <v>1</v>
      </c>
      <c r="S71" s="127">
        <f>SUM(O71:R71)</f>
        <v>4</v>
      </c>
      <c r="U71" s="127">
        <f>SUM(V71:Y71)</f>
        <v>3</v>
      </c>
      <c r="V71" s="108">
        <f>V70-COUNT(V57:V68)</f>
        <v>1</v>
      </c>
      <c r="W71" s="108">
        <f>W70-COUNT(W57:W68)</f>
        <v>1</v>
      </c>
      <c r="X71" s="108">
        <f>X70-COUNT(X57:X68)</f>
        <v>0</v>
      </c>
      <c r="Y71" s="108">
        <f>Y70-COUNT(Y57:Y68)</f>
        <v>1</v>
      </c>
      <c r="AA71" s="126" t="s">
        <v>6</v>
      </c>
      <c r="AB71" s="584">
        <f>AB70-COUNT(AB57:AB68)</f>
        <v>0</v>
      </c>
      <c r="AC71" s="584">
        <f>AC70-COUNT(AC57:AC68)</f>
        <v>1</v>
      </c>
      <c r="AD71" s="108">
        <f>AD70-COUNT(AD57:AD68)</f>
        <v>0</v>
      </c>
      <c r="AE71" s="108">
        <f>AE70-COUNT(AE57:AE68)</f>
        <v>0</v>
      </c>
      <c r="AF71" s="127">
        <f>SUM(AB71:AE71)</f>
        <v>1</v>
      </c>
      <c r="AH71" s="127">
        <f>SUM(AI71:AL71)</f>
        <v>1</v>
      </c>
      <c r="AI71" s="108">
        <f>AI70-COUNT(AI57:AI68)</f>
        <v>0</v>
      </c>
      <c r="AJ71" s="108">
        <f>AJ70-COUNT(AJ57:AJ68)</f>
        <v>1</v>
      </c>
      <c r="AK71" s="108">
        <f>AK70-COUNT(AK57:AK68)</f>
        <v>0</v>
      </c>
      <c r="AL71" s="108">
        <f>AL70-COUNT(AL57:AL68)</f>
        <v>0</v>
      </c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</row>
    <row r="72" spans="1:65" ht="15.75">
      <c r="A72" s="126" t="s">
        <v>12</v>
      </c>
      <c r="B72" s="131">
        <f>B71/B70</f>
        <v>0</v>
      </c>
      <c r="C72" s="131">
        <f>C71/C70</f>
        <v>0</v>
      </c>
      <c r="D72" s="129">
        <f>D71/D70</f>
        <v>0.5</v>
      </c>
      <c r="E72" s="129">
        <f>E71/E70</f>
        <v>0</v>
      </c>
      <c r="F72" s="130">
        <f>F71/F70</f>
        <v>0.1111111111111111</v>
      </c>
      <c r="H72" s="130">
        <f>H71/H70</f>
        <v>0.25</v>
      </c>
      <c r="I72" s="933">
        <f>I71/I70</f>
        <v>0.5</v>
      </c>
      <c r="J72" s="129">
        <f>J71/J70</f>
        <v>0</v>
      </c>
      <c r="K72" s="129">
        <f>K71/K70</f>
        <v>0</v>
      </c>
      <c r="L72" s="129">
        <f>L71/L70</f>
        <v>0.5</v>
      </c>
      <c r="N72" s="126" t="s">
        <v>12</v>
      </c>
      <c r="O72" s="933">
        <f>O71/O70</f>
        <v>0.66666666666666663</v>
      </c>
      <c r="P72" s="129">
        <f>P71/P70</f>
        <v>0.33333333333333331</v>
      </c>
      <c r="Q72" s="129">
        <f>Q71/Q70</f>
        <v>0</v>
      </c>
      <c r="R72" s="129">
        <f>R71/R70</f>
        <v>0.5</v>
      </c>
      <c r="S72" s="130">
        <f>S71/S70</f>
        <v>0.36363636363636365</v>
      </c>
      <c r="U72" s="130">
        <f>U71/U70</f>
        <v>0.27272727272727271</v>
      </c>
      <c r="V72" s="129">
        <f>V71/V70</f>
        <v>0.33333333333333331</v>
      </c>
      <c r="W72" s="129">
        <f>W71/W70</f>
        <v>0.33333333333333331</v>
      </c>
      <c r="X72" s="129">
        <f>X71/X70</f>
        <v>0</v>
      </c>
      <c r="Y72" s="129">
        <f>Y71/Y70</f>
        <v>0.5</v>
      </c>
      <c r="AA72" s="126" t="s">
        <v>12</v>
      </c>
      <c r="AB72" s="131">
        <f>AB71/AB70</f>
        <v>0</v>
      </c>
      <c r="AC72" s="131">
        <f>AC71/AC70</f>
        <v>0.5</v>
      </c>
      <c r="AD72" s="129">
        <f>AD71/AD70</f>
        <v>0</v>
      </c>
      <c r="AE72" s="129">
        <f>AE71/AE70</f>
        <v>0</v>
      </c>
      <c r="AF72" s="130">
        <f>AF71/AF70</f>
        <v>0.125</v>
      </c>
      <c r="AH72" s="130">
        <f>AH71/AH70</f>
        <v>0.14285714285714285</v>
      </c>
      <c r="AI72" s="933">
        <f>AI71/AI70</f>
        <v>0</v>
      </c>
      <c r="AJ72" s="129">
        <f>AJ71/AJ70</f>
        <v>0.5</v>
      </c>
      <c r="AK72" s="129">
        <f>AK71/AK70</f>
        <v>0</v>
      </c>
      <c r="AL72" s="129">
        <f>AL71/AL70</f>
        <v>0</v>
      </c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</row>
    <row r="73" spans="1:65" ht="15.75">
      <c r="A73" s="126" t="s">
        <v>5</v>
      </c>
      <c r="B73" s="134">
        <f>B69/B70</f>
        <v>8.3333333333333339</v>
      </c>
      <c r="C73" s="132">
        <f>C69/C70</f>
        <v>6</v>
      </c>
      <c r="D73" s="132">
        <f>D69/D70</f>
        <v>3</v>
      </c>
      <c r="E73" s="132">
        <f>E69/E70</f>
        <v>3.5</v>
      </c>
      <c r="F73" s="133">
        <f>F69/F70</f>
        <v>5.5555555555555554</v>
      </c>
      <c r="H73" s="133">
        <f>H69/H70</f>
        <v>5.25</v>
      </c>
      <c r="I73" s="132">
        <f>I69/I70</f>
        <v>4.5</v>
      </c>
      <c r="J73" s="132">
        <f>J69/J70</f>
        <v>6</v>
      </c>
      <c r="K73" s="132">
        <f>K69/K70</f>
        <v>7.5</v>
      </c>
      <c r="L73" s="132">
        <f>L69/L70</f>
        <v>3</v>
      </c>
      <c r="N73" s="126" t="s">
        <v>5</v>
      </c>
      <c r="O73" s="132">
        <f>O69/O70</f>
        <v>2.6666666666666665</v>
      </c>
      <c r="P73" s="132">
        <f>P69/P70</f>
        <v>1</v>
      </c>
      <c r="Q73" s="132">
        <f>Q69/Q70</f>
        <v>6.666666666666667</v>
      </c>
      <c r="R73" s="132">
        <f>R69/R70</f>
        <v>5</v>
      </c>
      <c r="S73" s="133">
        <f>S69/S70</f>
        <v>3.7272727272727271</v>
      </c>
      <c r="U73" s="133">
        <f>U69/U70</f>
        <v>4.5454545454545459</v>
      </c>
      <c r="V73" s="134">
        <f>V69/V70</f>
        <v>5.666666666666667</v>
      </c>
      <c r="W73" s="132">
        <f>W69/W70</f>
        <v>2.3333333333333335</v>
      </c>
      <c r="X73" s="132">
        <f>X69/X70</f>
        <v>8</v>
      </c>
      <c r="Y73" s="132">
        <f>Y69/Y70</f>
        <v>1</v>
      </c>
      <c r="AA73" s="126" t="s">
        <v>5</v>
      </c>
      <c r="AB73" s="134">
        <f>AB69/AB70</f>
        <v>10</v>
      </c>
      <c r="AC73" s="132">
        <f>AC69/AC70</f>
        <v>3</v>
      </c>
      <c r="AD73" s="132">
        <f>AD69/AD70</f>
        <v>6.5</v>
      </c>
      <c r="AE73" s="132">
        <f>AE69/AE70</f>
        <v>5.5</v>
      </c>
      <c r="AF73" s="133">
        <f>AF69/AF70</f>
        <v>6.25</v>
      </c>
      <c r="AH73" s="133">
        <f>AH69/AH70</f>
        <v>4.4285714285714288</v>
      </c>
      <c r="AI73" s="132">
        <f>AI69/AI70</f>
        <v>6</v>
      </c>
      <c r="AJ73" s="132">
        <f>AJ69/AJ70</f>
        <v>3</v>
      </c>
      <c r="AK73" s="132">
        <f>AK69/AK70</f>
        <v>5</v>
      </c>
      <c r="AL73" s="132">
        <f>AL69/AL70</f>
        <v>3</v>
      </c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</row>
    <row r="74" spans="1:65" ht="15.75">
      <c r="A74" s="126" t="s">
        <v>8</v>
      </c>
      <c r="B74" s="135">
        <f>B69/(B70-B71)</f>
        <v>8.3333333333333339</v>
      </c>
      <c r="C74" s="132">
        <f>C69/(C70-C71)</f>
        <v>6</v>
      </c>
      <c r="D74" s="134">
        <f>D69/(D70-D71)</f>
        <v>6</v>
      </c>
      <c r="E74" s="135">
        <f>E69/(E70-E71)</f>
        <v>3.5</v>
      </c>
      <c r="F74" s="136">
        <f>F69/(F70-F71)</f>
        <v>6.25</v>
      </c>
      <c r="H74" s="136">
        <f>H69/(H70-H71)</f>
        <v>7</v>
      </c>
      <c r="I74" s="135">
        <f>I69/(I70-I71)</f>
        <v>9</v>
      </c>
      <c r="J74" s="135">
        <f>J69/(J70-J71)</f>
        <v>6</v>
      </c>
      <c r="K74" s="135">
        <f>K69/(K70-K71)</f>
        <v>7.5</v>
      </c>
      <c r="L74" s="135">
        <f>L69/(L70-L71)</f>
        <v>6</v>
      </c>
      <c r="N74" s="126" t="s">
        <v>8</v>
      </c>
      <c r="O74" s="135">
        <f>O69/(O70-O71)</f>
        <v>8</v>
      </c>
      <c r="P74" s="135">
        <f>P69/(P70-P71)</f>
        <v>1.5</v>
      </c>
      <c r="Q74" s="135">
        <f>Q69/(Q70-Q71)</f>
        <v>6.666666666666667</v>
      </c>
      <c r="R74" s="135">
        <f>R69/(R70-R71)</f>
        <v>10</v>
      </c>
      <c r="S74" s="136">
        <f>S69/(S70-S71)</f>
        <v>5.8571428571428568</v>
      </c>
      <c r="U74" s="136">
        <f>U69/(U70-U71)</f>
        <v>6.25</v>
      </c>
      <c r="V74" s="134">
        <f>V69/(V70-V71)</f>
        <v>8.5</v>
      </c>
      <c r="W74" s="135">
        <f>W69/(W70-W71)</f>
        <v>3.5</v>
      </c>
      <c r="X74" s="132">
        <f>X69/(X70-X71)</f>
        <v>8</v>
      </c>
      <c r="Y74" s="132">
        <f>Y69/(Y70-Y71)</f>
        <v>2</v>
      </c>
      <c r="AA74" s="126" t="s">
        <v>8</v>
      </c>
      <c r="AB74" s="135">
        <f>AB69/(AB70-AB71)</f>
        <v>10</v>
      </c>
      <c r="AC74" s="132">
        <f>AC69/(AC70-AC71)</f>
        <v>6</v>
      </c>
      <c r="AD74" s="134">
        <f>AD69/(AD70-AD71)</f>
        <v>6.5</v>
      </c>
      <c r="AE74" s="135">
        <f>AE69/(AE70-AE71)</f>
        <v>5.5</v>
      </c>
      <c r="AF74" s="136">
        <f>AF69/(AF70-AF71)</f>
        <v>7.1428571428571432</v>
      </c>
      <c r="AH74" s="136">
        <f>AH69/(AH70-AH71)</f>
        <v>5.166666666666667</v>
      </c>
      <c r="AI74" s="135">
        <f>AI69/(AI70-AI71)</f>
        <v>6</v>
      </c>
      <c r="AJ74" s="135">
        <f>AJ69/(AJ70-AJ71)</f>
        <v>6</v>
      </c>
      <c r="AK74" s="135">
        <f>AK69/(AK70-AK71)</f>
        <v>5</v>
      </c>
      <c r="AL74" s="135">
        <f>AL69/(AL70-AL71)</f>
        <v>3</v>
      </c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</row>
    <row r="75" spans="1:65" s="111" customFormat="1">
      <c r="A75" s="109"/>
      <c r="B75" s="110"/>
      <c r="C75" s="110"/>
      <c r="D75" s="110"/>
      <c r="E75" s="580"/>
      <c r="F75" s="580"/>
      <c r="N75" s="109"/>
      <c r="O75" s="110"/>
      <c r="P75" s="110"/>
      <c r="Q75" s="110"/>
      <c r="R75" s="580"/>
      <c r="AA75" s="109"/>
      <c r="AB75" s="110"/>
      <c r="AC75" s="110"/>
      <c r="AD75" s="110"/>
      <c r="AE75" s="580"/>
      <c r="AF75" s="580"/>
      <c r="AN75" s="109"/>
      <c r="AO75" s="110"/>
      <c r="AP75" s="110"/>
      <c r="AQ75" s="110"/>
      <c r="AR75" s="580"/>
    </row>
    <row r="76" spans="1:65" ht="15.75">
      <c r="B76" s="1540" t="s">
        <v>103</v>
      </c>
      <c r="C76" s="1540"/>
      <c r="D76" s="1540"/>
      <c r="E76" s="1540"/>
      <c r="I76" s="1543" t="s">
        <v>138</v>
      </c>
      <c r="J76" s="1543"/>
      <c r="K76" s="1543"/>
      <c r="L76" s="1543"/>
      <c r="O76" s="1544" t="s">
        <v>138</v>
      </c>
      <c r="P76" s="1544"/>
      <c r="Q76" s="1544"/>
      <c r="R76" s="1544"/>
      <c r="V76" s="1543" t="s">
        <v>103</v>
      </c>
      <c r="W76" s="1543"/>
      <c r="X76" s="1543"/>
      <c r="Y76" s="1543"/>
      <c r="AB76" s="1543" t="s">
        <v>103</v>
      </c>
      <c r="AC76" s="1543"/>
      <c r="AD76" s="1543"/>
      <c r="AE76" s="1543"/>
      <c r="AI76" s="1544" t="s">
        <v>138</v>
      </c>
      <c r="AJ76" s="1544"/>
      <c r="AK76" s="1544"/>
      <c r="AL76" s="1544"/>
      <c r="AO76" s="1543" t="s">
        <v>138</v>
      </c>
      <c r="AP76" s="1543"/>
      <c r="AQ76" s="1543"/>
      <c r="AR76" s="1543"/>
      <c r="AV76" s="1540" t="s">
        <v>103</v>
      </c>
      <c r="AW76" s="1540"/>
      <c r="AX76" s="1540"/>
      <c r="AY76" s="1540"/>
      <c r="BA76" s="581"/>
      <c r="BB76" s="1540" t="s">
        <v>103</v>
      </c>
      <c r="BC76" s="1540"/>
      <c r="BD76" s="1540"/>
      <c r="BE76" s="1540"/>
      <c r="BI76" s="1543" t="s">
        <v>138</v>
      </c>
      <c r="BJ76" s="1543"/>
      <c r="BK76" s="1543"/>
      <c r="BL76" s="1543"/>
      <c r="BM76" s="111"/>
    </row>
    <row r="77" spans="1:65" ht="15.75">
      <c r="B77" s="469">
        <v>1</v>
      </c>
      <c r="C77" s="470">
        <v>2</v>
      </c>
      <c r="D77" s="471">
        <v>3</v>
      </c>
      <c r="E77" s="872">
        <v>4</v>
      </c>
      <c r="F77" s="113">
        <f>IF(COUNTIF(F79:F87,"&gt;37")=0,0,COUNTIF(F79:F87,"&gt;37")-1)</f>
        <v>2</v>
      </c>
      <c r="H77" s="113">
        <f>IF(COUNTIF(H79:H87,"&gt;37")=0,0,COUNTIF(H79:H87,"&gt;37")-1)</f>
        <v>0</v>
      </c>
      <c r="I77" s="934">
        <v>1</v>
      </c>
      <c r="J77" s="935">
        <v>2</v>
      </c>
      <c r="K77" s="936">
        <v>3</v>
      </c>
      <c r="L77" s="937">
        <v>4</v>
      </c>
      <c r="O77" s="588">
        <v>1</v>
      </c>
      <c r="P77" s="589">
        <v>2</v>
      </c>
      <c r="Q77" s="590">
        <v>3</v>
      </c>
      <c r="R77" s="874">
        <v>4</v>
      </c>
      <c r="S77" s="113">
        <f>IF(COUNTIF(S79:S87,"&gt;37")=0,0,COUNTIF(S79:S87,"&gt;37")-1)</f>
        <v>2</v>
      </c>
      <c r="U77" s="113">
        <f>IF(COUNTIF(U79:U87,"&gt;37")=0,0,COUNTIF(U79:U87,"&gt;37")-1)</f>
        <v>0</v>
      </c>
      <c r="V77" s="934">
        <v>1</v>
      </c>
      <c r="W77" s="935">
        <v>2</v>
      </c>
      <c r="X77" s="936">
        <v>3</v>
      </c>
      <c r="Y77" s="937">
        <v>4</v>
      </c>
      <c r="AB77" s="934">
        <v>1</v>
      </c>
      <c r="AC77" s="935">
        <v>2</v>
      </c>
      <c r="AD77" s="936">
        <v>3</v>
      </c>
      <c r="AE77" s="937">
        <v>4</v>
      </c>
      <c r="AF77" s="113">
        <f>IF(COUNTIF(AF79:AF87,"&gt;37")=0,0,COUNTIF(AF79:AF87,"&gt;37")-1)</f>
        <v>1</v>
      </c>
      <c r="AH77" s="113">
        <f>IF(COUNTIF(AH79:AH87,"&gt;37")=0,0,COUNTIF(AH79:AH87,"&gt;37")-1)</f>
        <v>2</v>
      </c>
      <c r="AI77" s="588">
        <v>1</v>
      </c>
      <c r="AJ77" s="589">
        <v>2</v>
      </c>
      <c r="AK77" s="590">
        <v>3</v>
      </c>
      <c r="AL77" s="874">
        <v>4</v>
      </c>
      <c r="AO77" s="934">
        <v>1</v>
      </c>
      <c r="AP77" s="935">
        <v>2</v>
      </c>
      <c r="AQ77" s="936">
        <v>3</v>
      </c>
      <c r="AR77" s="937">
        <v>4</v>
      </c>
      <c r="AS77" s="113">
        <f>IF(COUNTIF(AS79:AS87,"&gt;37")=0,0,COUNTIF(AS79:AS87,"&gt;37")-1)</f>
        <v>1</v>
      </c>
      <c r="AU77" s="113">
        <f>IF(COUNTIF(AU79:AU87,"&gt;37")=0,0,COUNTIF(AU79:AU87,"&gt;37")-1)</f>
        <v>5</v>
      </c>
      <c r="AV77" s="469">
        <v>1</v>
      </c>
      <c r="AW77" s="470">
        <v>2</v>
      </c>
      <c r="AX77" s="471">
        <v>3</v>
      </c>
      <c r="AY77" s="872">
        <v>4</v>
      </c>
      <c r="BA77" s="581"/>
      <c r="BB77" s="469">
        <v>1</v>
      </c>
      <c r="BC77" s="470">
        <v>2</v>
      </c>
      <c r="BD77" s="471">
        <v>3</v>
      </c>
      <c r="BE77" s="872">
        <v>4</v>
      </c>
      <c r="BF77" s="113">
        <f>IF(COUNTIF(BF79:BF87,"&gt;37")=0,0,COUNTIF(BF79:BF87,"&gt;37")-1)</f>
        <v>2</v>
      </c>
      <c r="BH77" s="113">
        <f>IF(COUNTIF(BH79:BH87,"&gt;37")=0,0,COUNTIF(BH79:BH87,"&gt;37")-1)</f>
        <v>0</v>
      </c>
      <c r="BI77" s="934">
        <v>1</v>
      </c>
      <c r="BJ77" s="935">
        <v>2</v>
      </c>
      <c r="BK77" s="936">
        <v>3</v>
      </c>
      <c r="BL77" s="937">
        <v>4</v>
      </c>
      <c r="BM77" s="111"/>
    </row>
    <row r="78" spans="1:65" s="596" customFormat="1" ht="50.25">
      <c r="A78" s="591"/>
      <c r="B78" s="473" t="s">
        <v>1</v>
      </c>
      <c r="C78" s="474" t="s">
        <v>104</v>
      </c>
      <c r="D78" s="475" t="s">
        <v>53</v>
      </c>
      <c r="E78" s="476" t="s">
        <v>96</v>
      </c>
      <c r="F78" s="928"/>
      <c r="G78" s="593"/>
      <c r="I78" s="938" t="s">
        <v>139</v>
      </c>
      <c r="J78" s="939" t="s">
        <v>140</v>
      </c>
      <c r="K78" s="939" t="s">
        <v>141</v>
      </c>
      <c r="L78" s="938" t="s">
        <v>142</v>
      </c>
      <c r="M78" s="641"/>
      <c r="N78" s="591"/>
      <c r="O78" s="940" t="s">
        <v>139</v>
      </c>
      <c r="P78" s="941" t="s">
        <v>140</v>
      </c>
      <c r="Q78" s="594" t="s">
        <v>141</v>
      </c>
      <c r="R78" s="942" t="s">
        <v>142</v>
      </c>
      <c r="S78" s="593"/>
      <c r="T78" s="593"/>
      <c r="U78" s="593"/>
      <c r="V78" s="938" t="s">
        <v>1</v>
      </c>
      <c r="W78" s="939" t="s">
        <v>104</v>
      </c>
      <c r="X78" s="939" t="s">
        <v>53</v>
      </c>
      <c r="Y78" s="938" t="s">
        <v>96</v>
      </c>
      <c r="Z78" s="945"/>
      <c r="AA78" s="591"/>
      <c r="AB78" s="938" t="s">
        <v>1</v>
      </c>
      <c r="AC78" s="939" t="s">
        <v>104</v>
      </c>
      <c r="AD78" s="939" t="s">
        <v>53</v>
      </c>
      <c r="AE78" s="943" t="s">
        <v>96</v>
      </c>
      <c r="AF78" s="928"/>
      <c r="AG78" s="593"/>
      <c r="AI78" s="940" t="s">
        <v>139</v>
      </c>
      <c r="AJ78" s="941" t="s">
        <v>140</v>
      </c>
      <c r="AK78" s="594" t="s">
        <v>141</v>
      </c>
      <c r="AL78" s="942" t="s">
        <v>142</v>
      </c>
      <c r="AM78" s="641"/>
      <c r="AN78" s="591"/>
      <c r="AO78" s="938" t="s">
        <v>139</v>
      </c>
      <c r="AP78" s="939" t="s">
        <v>140</v>
      </c>
      <c r="AQ78" s="939" t="s">
        <v>141</v>
      </c>
      <c r="AR78" s="938" t="s">
        <v>142</v>
      </c>
      <c r="AS78" s="593"/>
      <c r="AT78" s="593"/>
      <c r="AU78" s="593"/>
      <c r="AV78" s="473" t="s">
        <v>96</v>
      </c>
      <c r="AW78" s="473" t="s">
        <v>53</v>
      </c>
      <c r="AX78" s="474" t="s">
        <v>104</v>
      </c>
      <c r="AY78" s="474" t="s">
        <v>1</v>
      </c>
      <c r="AZ78" s="945"/>
      <c r="BA78" s="591"/>
      <c r="BB78" s="473" t="s">
        <v>53</v>
      </c>
      <c r="BC78" s="474" t="s">
        <v>104</v>
      </c>
      <c r="BD78" s="474" t="s">
        <v>1</v>
      </c>
      <c r="BE78" s="474" t="s">
        <v>96</v>
      </c>
      <c r="BF78" s="593"/>
      <c r="BG78" s="593"/>
      <c r="BH78" s="593"/>
      <c r="BI78" s="938" t="s">
        <v>139</v>
      </c>
      <c r="BJ78" s="939" t="s">
        <v>140</v>
      </c>
      <c r="BK78" s="939" t="s">
        <v>141</v>
      </c>
      <c r="BL78" s="938" t="s">
        <v>142</v>
      </c>
      <c r="BM78" s="641"/>
    </row>
    <row r="79" spans="1:65" ht="15.75">
      <c r="A79" s="118">
        <v>1</v>
      </c>
      <c r="B79" s="108">
        <v>9</v>
      </c>
      <c r="C79" s="117"/>
      <c r="D79" s="117"/>
      <c r="E79" s="119"/>
      <c r="F79" s="120">
        <f>SUM(B$79:$E79)</f>
        <v>9</v>
      </c>
      <c r="G79" s="944">
        <f>F79-H79</f>
        <v>-3</v>
      </c>
      <c r="H79" s="120">
        <f>SUM(I$79:$L79)</f>
        <v>12</v>
      </c>
      <c r="I79" s="121">
        <v>12</v>
      </c>
      <c r="J79" s="117"/>
      <c r="K79" s="117"/>
      <c r="L79" s="107"/>
      <c r="N79" s="118">
        <v>1</v>
      </c>
      <c r="O79" s="108">
        <v>11</v>
      </c>
      <c r="P79" s="117"/>
      <c r="Q79" s="117"/>
      <c r="R79" s="119"/>
      <c r="S79" s="120">
        <f>SUM($O$79:R79)</f>
        <v>11</v>
      </c>
      <c r="T79" s="944">
        <f>S79-U79</f>
        <v>3</v>
      </c>
      <c r="U79" s="120">
        <f>SUM($V$79:Y79)</f>
        <v>8</v>
      </c>
      <c r="V79" s="121">
        <v>8</v>
      </c>
      <c r="W79" s="117"/>
      <c r="X79" s="117"/>
      <c r="Y79" s="107"/>
      <c r="AA79" s="118">
        <v>1</v>
      </c>
      <c r="AB79" s="108">
        <v>11</v>
      </c>
      <c r="AC79" s="117"/>
      <c r="AD79" s="117"/>
      <c r="AE79" s="119"/>
      <c r="AF79" s="120">
        <f>SUM($AB$79:AE79)</f>
        <v>11</v>
      </c>
      <c r="AG79" s="944">
        <f>AF79-AH79</f>
        <v>9</v>
      </c>
      <c r="AH79" s="120">
        <f>SUM($AI$79:AL79)</f>
        <v>2</v>
      </c>
      <c r="AI79" s="121">
        <v>2</v>
      </c>
      <c r="AJ79" s="117"/>
      <c r="AK79" s="117"/>
      <c r="AL79" s="107"/>
      <c r="AN79" s="118">
        <v>1</v>
      </c>
      <c r="AO79" s="108">
        <v>8</v>
      </c>
      <c r="AP79" s="117"/>
      <c r="AQ79" s="117"/>
      <c r="AR79" s="119"/>
      <c r="AS79" s="120">
        <f>SUM($AO$79:AR79)</f>
        <v>8</v>
      </c>
      <c r="AT79" s="944">
        <f>AS79-AU79</f>
        <v>3</v>
      </c>
      <c r="AU79" s="120">
        <f>SUM($AV$79:AY79)</f>
        <v>5</v>
      </c>
      <c r="AV79" s="121">
        <v>5</v>
      </c>
      <c r="AW79" s="117"/>
      <c r="AX79" s="117"/>
      <c r="AY79" s="107"/>
      <c r="BA79" s="118">
        <v>1</v>
      </c>
      <c r="BB79" s="108">
        <v>10</v>
      </c>
      <c r="BC79" s="117"/>
      <c r="BD79" s="117"/>
      <c r="BE79" s="119"/>
      <c r="BF79" s="120">
        <f>SUM($BB$79:BE79)</f>
        <v>10</v>
      </c>
      <c r="BG79" s="944">
        <f>BF79-BH79</f>
        <v>2</v>
      </c>
      <c r="BH79" s="120">
        <f>SUM($BI$79:BL79)</f>
        <v>8</v>
      </c>
      <c r="BI79" s="121">
        <v>8</v>
      </c>
      <c r="BJ79" s="117"/>
      <c r="BK79" s="117"/>
      <c r="BL79" s="107"/>
      <c r="BM79" s="111"/>
    </row>
    <row r="80" spans="1:65" ht="15.75">
      <c r="A80" s="122">
        <v>2</v>
      </c>
      <c r="B80" s="117"/>
      <c r="C80" s="108">
        <v>8</v>
      </c>
      <c r="D80" s="117"/>
      <c r="E80" s="114"/>
      <c r="F80" s="120">
        <f>SUM(B$79:$E80)</f>
        <v>17</v>
      </c>
      <c r="G80" s="944">
        <f t="shared" ref="G80:G85" si="11">F80-H80</f>
        <v>3</v>
      </c>
      <c r="H80" s="120">
        <f>SUM(I$79:$L80)</f>
        <v>14</v>
      </c>
      <c r="I80" s="123"/>
      <c r="J80" s="108">
        <v>2</v>
      </c>
      <c r="K80" s="117"/>
      <c r="L80" s="117"/>
      <c r="N80" s="122">
        <v>2</v>
      </c>
      <c r="O80" s="117"/>
      <c r="P80" s="108">
        <v>6</v>
      </c>
      <c r="Q80" s="117"/>
      <c r="R80" s="114"/>
      <c r="S80" s="120">
        <f>SUM($O$79:R80)</f>
        <v>17</v>
      </c>
      <c r="T80" s="944">
        <f t="shared" ref="T80:T85" si="12">S80-U80</f>
        <v>4</v>
      </c>
      <c r="U80" s="120">
        <f>SUM($V$79:Y80)</f>
        <v>13</v>
      </c>
      <c r="V80" s="123"/>
      <c r="W80" s="108">
        <v>5</v>
      </c>
      <c r="X80" s="117"/>
      <c r="Y80" s="117"/>
      <c r="AA80" s="122">
        <v>2</v>
      </c>
      <c r="AB80" s="117"/>
      <c r="AC80" s="108">
        <v>8</v>
      </c>
      <c r="AD80" s="117"/>
      <c r="AE80" s="114"/>
      <c r="AF80" s="120">
        <f>SUM($AB$79:AE80)</f>
        <v>19</v>
      </c>
      <c r="AG80" s="944">
        <f t="shared" ref="AG80:AG86" si="13">AF80-AH80</f>
        <v>11</v>
      </c>
      <c r="AH80" s="120">
        <f>SUM($AI$79:AL80)</f>
        <v>8</v>
      </c>
      <c r="AI80" s="123"/>
      <c r="AJ80" s="108">
        <v>6</v>
      </c>
      <c r="AK80" s="117"/>
      <c r="AL80" s="117"/>
      <c r="AN80" s="122">
        <v>2</v>
      </c>
      <c r="AO80" s="117"/>
      <c r="AP80" s="108" t="s">
        <v>2</v>
      </c>
      <c r="AQ80" s="117"/>
      <c r="AR80" s="114"/>
      <c r="AS80" s="120">
        <f>SUM($AO$79:AR80)</f>
        <v>8</v>
      </c>
      <c r="AT80" s="944">
        <f t="shared" ref="AT80:AT87" si="14">AS80-AU80</f>
        <v>-9</v>
      </c>
      <c r="AU80" s="120">
        <f>SUM($AV$79:AY80)</f>
        <v>17</v>
      </c>
      <c r="AV80" s="123"/>
      <c r="AW80" s="108">
        <v>12</v>
      </c>
      <c r="AX80" s="117"/>
      <c r="AY80" s="117"/>
      <c r="BA80" s="122">
        <v>2</v>
      </c>
      <c r="BB80" s="117"/>
      <c r="BC80" s="108" t="s">
        <v>2</v>
      </c>
      <c r="BD80" s="117"/>
      <c r="BE80" s="114"/>
      <c r="BF80" s="120">
        <f>SUM($BB$79:BE80)</f>
        <v>10</v>
      </c>
      <c r="BG80" s="944">
        <f t="shared" ref="BG80:BG86" si="15">BF80-BH80</f>
        <v>2</v>
      </c>
      <c r="BH80" s="120">
        <f>SUM($BI$79:BL80)</f>
        <v>8</v>
      </c>
      <c r="BI80" s="123"/>
      <c r="BJ80" s="108" t="s">
        <v>2</v>
      </c>
      <c r="BK80" s="117"/>
      <c r="BL80" s="117"/>
      <c r="BM80" s="111"/>
    </row>
    <row r="81" spans="1:65" ht="15.75">
      <c r="A81" s="122">
        <v>3</v>
      </c>
      <c r="B81" s="108"/>
      <c r="C81" s="117"/>
      <c r="D81" s="117">
        <v>12</v>
      </c>
      <c r="E81" s="119"/>
      <c r="F81" s="120">
        <f>SUM(B$79:$E81)</f>
        <v>29</v>
      </c>
      <c r="G81" s="944">
        <f t="shared" si="11"/>
        <v>9</v>
      </c>
      <c r="H81" s="120">
        <f>SUM(I$79:$L81)</f>
        <v>20</v>
      </c>
      <c r="I81" s="121"/>
      <c r="J81" s="117"/>
      <c r="K81" s="117">
        <v>6</v>
      </c>
      <c r="L81" s="107"/>
      <c r="N81" s="122">
        <v>3</v>
      </c>
      <c r="O81" s="108"/>
      <c r="P81" s="117"/>
      <c r="Q81" s="117">
        <v>3</v>
      </c>
      <c r="R81" s="119"/>
      <c r="S81" s="120">
        <f>SUM($O$79:R81)</f>
        <v>20</v>
      </c>
      <c r="T81" s="944">
        <f t="shared" si="12"/>
        <v>7</v>
      </c>
      <c r="U81" s="120">
        <f>SUM($V$79:Y81)</f>
        <v>13</v>
      </c>
      <c r="V81" s="121"/>
      <c r="W81" s="117"/>
      <c r="X81" s="117" t="s">
        <v>2</v>
      </c>
      <c r="Y81" s="107"/>
      <c r="AA81" s="122">
        <v>3</v>
      </c>
      <c r="AB81" s="108"/>
      <c r="AC81" s="117"/>
      <c r="AD81" s="117">
        <v>8</v>
      </c>
      <c r="AE81" s="119"/>
      <c r="AF81" s="120">
        <f>SUM($AB$79:AE81)</f>
        <v>27</v>
      </c>
      <c r="AG81" s="944">
        <f t="shared" si="13"/>
        <v>12</v>
      </c>
      <c r="AH81" s="120">
        <f>SUM($AI$79:AL81)</f>
        <v>15</v>
      </c>
      <c r="AI81" s="121"/>
      <c r="AJ81" s="117"/>
      <c r="AK81" s="117">
        <v>7</v>
      </c>
      <c r="AL81" s="107"/>
      <c r="AN81" s="122">
        <v>3</v>
      </c>
      <c r="AO81" s="108"/>
      <c r="AP81" s="117"/>
      <c r="AQ81" s="117">
        <v>6</v>
      </c>
      <c r="AR81" s="119"/>
      <c r="AS81" s="120">
        <f>SUM($AO$79:AR81)</f>
        <v>14</v>
      </c>
      <c r="AT81" s="944">
        <f t="shared" si="14"/>
        <v>-15</v>
      </c>
      <c r="AU81" s="120">
        <f>SUM($AV$79:AY81)</f>
        <v>29</v>
      </c>
      <c r="AV81" s="121"/>
      <c r="AW81" s="117"/>
      <c r="AX81" s="117">
        <v>12</v>
      </c>
      <c r="AY81" s="107"/>
      <c r="BA81" s="122">
        <v>3</v>
      </c>
      <c r="BB81" s="108"/>
      <c r="BC81" s="117"/>
      <c r="BD81" s="117">
        <v>8</v>
      </c>
      <c r="BE81" s="119"/>
      <c r="BF81" s="120">
        <f>SUM($BB$79:BE81)</f>
        <v>18</v>
      </c>
      <c r="BG81" s="944">
        <f t="shared" si="15"/>
        <v>4</v>
      </c>
      <c r="BH81" s="120">
        <f>SUM($BI$79:BL81)</f>
        <v>14</v>
      </c>
      <c r="BI81" s="121"/>
      <c r="BJ81" s="117"/>
      <c r="BK81" s="117">
        <v>6</v>
      </c>
      <c r="BL81" s="107"/>
      <c r="BM81" s="111"/>
    </row>
    <row r="82" spans="1:65" ht="15.75">
      <c r="A82" s="122">
        <v>4</v>
      </c>
      <c r="B82" s="117"/>
      <c r="C82" s="108"/>
      <c r="D82" s="117"/>
      <c r="E82" s="114">
        <v>5</v>
      </c>
      <c r="F82" s="120">
        <f>SUM(B$79:$E82)</f>
        <v>34</v>
      </c>
      <c r="G82" s="944">
        <f t="shared" si="11"/>
        <v>6</v>
      </c>
      <c r="H82" s="120">
        <f>SUM(I$79:$L82)</f>
        <v>28</v>
      </c>
      <c r="I82" s="123"/>
      <c r="J82" s="108"/>
      <c r="K82" s="117"/>
      <c r="L82" s="117">
        <v>8</v>
      </c>
      <c r="N82" s="122">
        <v>4</v>
      </c>
      <c r="O82" s="117"/>
      <c r="P82" s="108"/>
      <c r="Q82" s="117"/>
      <c r="R82" s="114">
        <v>9</v>
      </c>
      <c r="S82" s="120">
        <f>SUM($O$79:R82)</f>
        <v>29</v>
      </c>
      <c r="T82" s="944">
        <f t="shared" si="12"/>
        <v>12</v>
      </c>
      <c r="U82" s="120">
        <f>SUM($V$79:Y82)</f>
        <v>17</v>
      </c>
      <c r="V82" s="123"/>
      <c r="W82" s="108"/>
      <c r="X82" s="117"/>
      <c r="Y82" s="117">
        <v>4</v>
      </c>
      <c r="AA82" s="122">
        <v>4</v>
      </c>
      <c r="AB82" s="117"/>
      <c r="AC82" s="108"/>
      <c r="AD82" s="117"/>
      <c r="AE82" s="114">
        <v>4</v>
      </c>
      <c r="AF82" s="120">
        <f>SUM($AB$79:AE82)</f>
        <v>31</v>
      </c>
      <c r="AG82" s="944">
        <f t="shared" si="13"/>
        <v>5</v>
      </c>
      <c r="AH82" s="120">
        <f>SUM($AI$79:AL82)</f>
        <v>26</v>
      </c>
      <c r="AI82" s="123"/>
      <c r="AJ82" s="108"/>
      <c r="AK82" s="117"/>
      <c r="AL82" s="117">
        <v>11</v>
      </c>
      <c r="AN82" s="122">
        <v>4</v>
      </c>
      <c r="AO82" s="117"/>
      <c r="AP82" s="108"/>
      <c r="AQ82" s="117"/>
      <c r="AR82" s="114" t="s">
        <v>2</v>
      </c>
      <c r="AS82" s="120">
        <f>SUM($AO$79:AR82)</f>
        <v>14</v>
      </c>
      <c r="AT82" s="944">
        <f t="shared" si="14"/>
        <v>-27</v>
      </c>
      <c r="AU82" s="120">
        <f>SUM($AV$79:AY82)</f>
        <v>41</v>
      </c>
      <c r="AV82" s="123"/>
      <c r="AW82" s="108"/>
      <c r="AX82" s="117"/>
      <c r="AY82" s="117">
        <v>12</v>
      </c>
      <c r="BA82" s="122">
        <v>4</v>
      </c>
      <c r="BB82" s="117"/>
      <c r="BC82" s="108"/>
      <c r="BD82" s="117"/>
      <c r="BE82" s="114" t="s">
        <v>2</v>
      </c>
      <c r="BF82" s="120">
        <f>SUM($BB$79:BE82)</f>
        <v>18</v>
      </c>
      <c r="BG82" s="944">
        <f t="shared" si="15"/>
        <v>-8</v>
      </c>
      <c r="BH82" s="120">
        <f>SUM($BI$79:BL82)</f>
        <v>26</v>
      </c>
      <c r="BI82" s="123"/>
      <c r="BJ82" s="108"/>
      <c r="BK82" s="117"/>
      <c r="BL82" s="117">
        <v>12</v>
      </c>
      <c r="BM82" s="111"/>
    </row>
    <row r="83" spans="1:65" ht="15.75">
      <c r="A83" s="122">
        <v>5</v>
      </c>
      <c r="B83" s="108">
        <v>8</v>
      </c>
      <c r="C83" s="117"/>
      <c r="D83" s="117"/>
      <c r="E83" s="119"/>
      <c r="F83" s="120">
        <f>SUM(B$79:$E83)</f>
        <v>42</v>
      </c>
      <c r="G83" s="944">
        <f t="shared" si="11"/>
        <v>7</v>
      </c>
      <c r="H83" s="120">
        <f>SUM(I$79:$L83)</f>
        <v>35</v>
      </c>
      <c r="I83" s="121">
        <v>7</v>
      </c>
      <c r="J83" s="117"/>
      <c r="K83" s="117"/>
      <c r="L83" s="107"/>
      <c r="N83" s="122">
        <v>5</v>
      </c>
      <c r="O83" s="108">
        <v>9</v>
      </c>
      <c r="P83" s="117"/>
      <c r="Q83" s="117"/>
      <c r="R83" s="119"/>
      <c r="S83" s="120">
        <f>SUM($O$79:R83)</f>
        <v>38</v>
      </c>
      <c r="T83" s="944">
        <f t="shared" si="12"/>
        <v>16</v>
      </c>
      <c r="U83" s="120">
        <f>SUM($V$79:Y83)</f>
        <v>22</v>
      </c>
      <c r="V83" s="121">
        <v>5</v>
      </c>
      <c r="W83" s="117"/>
      <c r="X83" s="117"/>
      <c r="Y83" s="107"/>
      <c r="AA83" s="122">
        <v>5</v>
      </c>
      <c r="AB83" s="108" t="s">
        <v>2</v>
      </c>
      <c r="AC83" s="117"/>
      <c r="AD83" s="117"/>
      <c r="AE83" s="119"/>
      <c r="AF83" s="120">
        <f>SUM($AB$79:AE83)</f>
        <v>31</v>
      </c>
      <c r="AG83" s="944">
        <f t="shared" si="13"/>
        <v>-6</v>
      </c>
      <c r="AH83" s="120">
        <f>SUM($AI$79:AL83)</f>
        <v>37</v>
      </c>
      <c r="AI83" s="121">
        <v>11</v>
      </c>
      <c r="AJ83" s="117"/>
      <c r="AK83" s="117"/>
      <c r="AL83" s="107"/>
      <c r="AN83" s="122">
        <v>5</v>
      </c>
      <c r="AO83" s="108">
        <v>2</v>
      </c>
      <c r="AP83" s="117"/>
      <c r="AQ83" s="117"/>
      <c r="AR83" s="119"/>
      <c r="AS83" s="120">
        <f>SUM($AO$79:AR83)</f>
        <v>16</v>
      </c>
      <c r="AT83" s="944">
        <f t="shared" si="14"/>
        <v>-25</v>
      </c>
      <c r="AU83" s="120">
        <f>SUM($AV$79:AY83)</f>
        <v>41</v>
      </c>
      <c r="AV83" s="121" t="s">
        <v>2</v>
      </c>
      <c r="AW83" s="117"/>
      <c r="AX83" s="117"/>
      <c r="AY83" s="107"/>
      <c r="BA83" s="122">
        <v>5</v>
      </c>
      <c r="BB83" s="108">
        <v>12</v>
      </c>
      <c r="BC83" s="117"/>
      <c r="BD83" s="117"/>
      <c r="BE83" s="119"/>
      <c r="BF83" s="120">
        <f>SUM($BB$79:BE83)</f>
        <v>30</v>
      </c>
      <c r="BG83" s="944">
        <f t="shared" si="15"/>
        <v>0</v>
      </c>
      <c r="BH83" s="120">
        <f>SUM($BI$79:BL83)</f>
        <v>30</v>
      </c>
      <c r="BI83" s="121">
        <v>4</v>
      </c>
      <c r="BJ83" s="117"/>
      <c r="BK83" s="117"/>
      <c r="BL83" s="107"/>
      <c r="BM83" s="111"/>
    </row>
    <row r="84" spans="1:65" ht="15.75">
      <c r="A84" s="118">
        <v>6</v>
      </c>
      <c r="B84" s="108"/>
      <c r="C84" s="117" t="s">
        <v>2</v>
      </c>
      <c r="D84" s="117"/>
      <c r="E84" s="119"/>
      <c r="F84" s="120">
        <f>SUM(B$79:$E84)</f>
        <v>42</v>
      </c>
      <c r="G84" s="944">
        <f t="shared" si="11"/>
        <v>7</v>
      </c>
      <c r="H84" s="120">
        <f>SUM(I$79:$L84)</f>
        <v>35</v>
      </c>
      <c r="I84" s="121"/>
      <c r="J84" s="117" t="s">
        <v>2</v>
      </c>
      <c r="K84" s="117"/>
      <c r="L84" s="107"/>
      <c r="N84" s="122">
        <v>6</v>
      </c>
      <c r="O84" s="117"/>
      <c r="P84" s="108" t="s">
        <v>2</v>
      </c>
      <c r="Q84" s="117"/>
      <c r="R84" s="114"/>
      <c r="S84" s="120">
        <f>SUM($O$79:R84)</f>
        <v>38</v>
      </c>
      <c r="T84" s="944">
        <f t="shared" si="12"/>
        <v>7</v>
      </c>
      <c r="U84" s="120">
        <f>SUM($V$79:Y84)</f>
        <v>31</v>
      </c>
      <c r="V84" s="123"/>
      <c r="W84" s="117">
        <v>9</v>
      </c>
      <c r="X84" s="117"/>
      <c r="Y84" s="117"/>
      <c r="AA84" s="118">
        <v>6</v>
      </c>
      <c r="AB84" s="108"/>
      <c r="AC84" s="117">
        <v>5</v>
      </c>
      <c r="AD84" s="117"/>
      <c r="AE84" s="119"/>
      <c r="AF84" s="120">
        <f>SUM($AB$79:AE84)</f>
        <v>36</v>
      </c>
      <c r="AG84" s="944">
        <f t="shared" si="13"/>
        <v>-4</v>
      </c>
      <c r="AH84" s="120">
        <f>SUM($AI$79:AL84)</f>
        <v>40</v>
      </c>
      <c r="AI84" s="121"/>
      <c r="AJ84" s="117">
        <v>3</v>
      </c>
      <c r="AK84" s="117"/>
      <c r="AL84" s="107"/>
      <c r="AN84" s="122">
        <v>6</v>
      </c>
      <c r="AO84" s="117"/>
      <c r="AP84" s="108">
        <v>9</v>
      </c>
      <c r="AQ84" s="117"/>
      <c r="AR84" s="114"/>
      <c r="AS84" s="120">
        <f>SUM($AO$79:AR84)</f>
        <v>25</v>
      </c>
      <c r="AT84" s="944">
        <f t="shared" si="14"/>
        <v>-16</v>
      </c>
      <c r="AU84" s="120">
        <f>SUM($AV$79:AY84)</f>
        <v>41</v>
      </c>
      <c r="AV84" s="123"/>
      <c r="AW84" s="117" t="s">
        <v>2</v>
      </c>
      <c r="AX84" s="117"/>
      <c r="AY84" s="117"/>
      <c r="BA84" s="122">
        <v>6</v>
      </c>
      <c r="BB84" s="117"/>
      <c r="BC84" s="108">
        <v>7</v>
      </c>
      <c r="BD84" s="117"/>
      <c r="BE84" s="114"/>
      <c r="BF84" s="120">
        <f>SUM($BB$79:BE84)</f>
        <v>37</v>
      </c>
      <c r="BG84" s="944">
        <f t="shared" si="15"/>
        <v>5</v>
      </c>
      <c r="BH84" s="120">
        <f>SUM($BI$79:BL84)</f>
        <v>32</v>
      </c>
      <c r="BI84" s="123"/>
      <c r="BJ84" s="117">
        <v>2</v>
      </c>
      <c r="BK84" s="117"/>
      <c r="BL84" s="117"/>
      <c r="BM84" s="111"/>
    </row>
    <row r="85" spans="1:65" ht="15.75">
      <c r="A85" s="122">
        <v>7</v>
      </c>
      <c r="B85" s="117"/>
      <c r="C85" s="108"/>
      <c r="D85" s="565">
        <v>8</v>
      </c>
      <c r="E85" s="114"/>
      <c r="F85" s="120">
        <f>SUM(B$79:$E85)</f>
        <v>50</v>
      </c>
      <c r="G85" s="944">
        <f t="shared" si="11"/>
        <v>15</v>
      </c>
      <c r="H85" s="120">
        <f>SUM(I$79:$L85)</f>
        <v>35</v>
      </c>
      <c r="I85" s="123"/>
      <c r="J85" s="108"/>
      <c r="K85" s="117"/>
      <c r="L85" s="117"/>
      <c r="N85" s="118">
        <v>7</v>
      </c>
      <c r="O85" s="108"/>
      <c r="P85" s="117"/>
      <c r="Q85" s="565">
        <v>12</v>
      </c>
      <c r="R85" s="119"/>
      <c r="S85" s="120">
        <f>SUM($O$79:R85)</f>
        <v>50</v>
      </c>
      <c r="T85" s="944">
        <f t="shared" si="12"/>
        <v>19</v>
      </c>
      <c r="U85" s="120">
        <f>SUM($V$79:Y85)</f>
        <v>31</v>
      </c>
      <c r="V85" s="121"/>
      <c r="W85" s="117"/>
      <c r="X85" s="117"/>
      <c r="Y85" s="107"/>
      <c r="AA85" s="122">
        <v>7</v>
      </c>
      <c r="AB85" s="117"/>
      <c r="AC85" s="108"/>
      <c r="AD85" s="117">
        <v>3</v>
      </c>
      <c r="AE85" s="114"/>
      <c r="AF85" s="120">
        <f>SUM($AB$79:AE85)</f>
        <v>39</v>
      </c>
      <c r="AG85" s="944">
        <f t="shared" si="13"/>
        <v>-8</v>
      </c>
      <c r="AH85" s="120">
        <f>SUM($AI$79:AL85)</f>
        <v>47</v>
      </c>
      <c r="AI85" s="123"/>
      <c r="AJ85" s="108"/>
      <c r="AK85" s="117">
        <v>7</v>
      </c>
      <c r="AL85" s="117"/>
      <c r="AN85" s="118">
        <v>7</v>
      </c>
      <c r="AO85" s="108"/>
      <c r="AP85" s="117"/>
      <c r="AQ85" s="117">
        <v>2</v>
      </c>
      <c r="AR85" s="119"/>
      <c r="AS85" s="120">
        <f>SUM($AO$79:AR85)</f>
        <v>27</v>
      </c>
      <c r="AT85" s="944">
        <f t="shared" si="14"/>
        <v>-17</v>
      </c>
      <c r="AU85" s="120">
        <f>SUM($AV$79:AY85)</f>
        <v>44</v>
      </c>
      <c r="AV85" s="121"/>
      <c r="AW85" s="117"/>
      <c r="AX85" s="954">
        <v>3</v>
      </c>
      <c r="AY85" s="107"/>
      <c r="BA85" s="118">
        <v>7</v>
      </c>
      <c r="BB85" s="108"/>
      <c r="BC85" s="117"/>
      <c r="BD85" s="117">
        <v>2</v>
      </c>
      <c r="BE85" s="119"/>
      <c r="BF85" s="120">
        <f>SUM($BB$79:BE85)</f>
        <v>39</v>
      </c>
      <c r="BG85" s="944">
        <f t="shared" si="15"/>
        <v>4</v>
      </c>
      <c r="BH85" s="120">
        <f>SUM($BI$79:BL85)</f>
        <v>35</v>
      </c>
      <c r="BI85" s="121"/>
      <c r="BJ85" s="117"/>
      <c r="BK85" s="117">
        <v>3</v>
      </c>
      <c r="BL85" s="107"/>
      <c r="BM85" s="111"/>
    </row>
    <row r="86" spans="1:65" ht="15.75">
      <c r="C86" s="583"/>
      <c r="I86" s="582"/>
      <c r="J86" s="583"/>
      <c r="K86" s="582"/>
      <c r="L86" s="583"/>
      <c r="P86" s="583"/>
      <c r="S86" s="583"/>
      <c r="V86" s="582"/>
      <c r="W86" s="583"/>
      <c r="X86" s="582"/>
      <c r="Y86" s="583"/>
      <c r="AA86" s="122">
        <v>8</v>
      </c>
      <c r="AB86" s="108"/>
      <c r="AC86" s="117"/>
      <c r="AD86" s="117"/>
      <c r="AE86" s="119" t="s">
        <v>2</v>
      </c>
      <c r="AF86" s="120">
        <f>SUM($AB$79:AE86)</f>
        <v>39</v>
      </c>
      <c r="AG86" s="944">
        <f t="shared" si="13"/>
        <v>-11</v>
      </c>
      <c r="AH86" s="120">
        <f>SUM($AI$79:AL86)</f>
        <v>50</v>
      </c>
      <c r="AI86" s="121"/>
      <c r="AJ86" s="117"/>
      <c r="AK86" s="117"/>
      <c r="AL86" s="565">
        <v>3</v>
      </c>
      <c r="AN86" s="118">
        <v>8</v>
      </c>
      <c r="AO86" s="108"/>
      <c r="AP86" s="117"/>
      <c r="AQ86" s="117"/>
      <c r="AR86" s="119">
        <v>11</v>
      </c>
      <c r="AS86" s="120">
        <f>SUM($AO$79:AR86)</f>
        <v>38</v>
      </c>
      <c r="AT86" s="944">
        <f t="shared" si="14"/>
        <v>-9</v>
      </c>
      <c r="AU86" s="120">
        <f>SUM($AV$79:AY86)</f>
        <v>47</v>
      </c>
      <c r="AV86" s="121"/>
      <c r="AW86" s="117"/>
      <c r="AX86" s="117"/>
      <c r="AY86" s="107">
        <v>3</v>
      </c>
      <c r="BA86" s="118">
        <v>8</v>
      </c>
      <c r="BB86" s="108"/>
      <c r="BC86" s="117"/>
      <c r="BD86" s="117"/>
      <c r="BE86" s="119">
        <v>3</v>
      </c>
      <c r="BF86" s="120">
        <f>SUM($BB$79:BE86)</f>
        <v>42</v>
      </c>
      <c r="BG86" s="944">
        <f t="shared" si="15"/>
        <v>5</v>
      </c>
      <c r="BH86" s="120">
        <f>SUM($BI$79:BL86)</f>
        <v>37</v>
      </c>
      <c r="BI86" s="121"/>
      <c r="BJ86" s="117"/>
      <c r="BK86" s="117"/>
      <c r="BL86" s="107">
        <v>2</v>
      </c>
      <c r="BM86" s="111"/>
    </row>
    <row r="87" spans="1:65" ht="15.75">
      <c r="C87" s="583"/>
      <c r="I87" s="582"/>
      <c r="J87" s="583"/>
      <c r="K87" s="582"/>
      <c r="L87" s="583"/>
      <c r="P87" s="583"/>
      <c r="S87" s="583"/>
      <c r="V87" s="582"/>
      <c r="W87" s="583"/>
      <c r="X87" s="582"/>
      <c r="Y87" s="583"/>
      <c r="AC87" s="583"/>
      <c r="AI87" s="582"/>
      <c r="AJ87" s="583"/>
      <c r="AK87" s="582"/>
      <c r="AL87" s="583"/>
      <c r="AN87" s="122">
        <v>9</v>
      </c>
      <c r="AO87" s="108" t="s">
        <v>2</v>
      </c>
      <c r="AP87" s="108"/>
      <c r="AQ87" s="117"/>
      <c r="AR87" s="114"/>
      <c r="AS87" s="120">
        <f>SUM($AO$79:AR87)</f>
        <v>38</v>
      </c>
      <c r="AT87" s="944">
        <f t="shared" si="14"/>
        <v>-12</v>
      </c>
      <c r="AU87" s="120">
        <f>SUM($AV$79:AY87)</f>
        <v>50</v>
      </c>
      <c r="AV87" s="1430">
        <v>3</v>
      </c>
      <c r="AW87" s="108"/>
      <c r="AX87" s="117"/>
      <c r="AY87" s="117"/>
      <c r="BA87" s="122">
        <v>9</v>
      </c>
      <c r="BB87" s="565">
        <v>8</v>
      </c>
      <c r="BC87" s="108"/>
      <c r="BD87" s="117"/>
      <c r="BE87" s="114"/>
      <c r="BF87" s="120">
        <f>SUM($BB$79:BE87)</f>
        <v>50</v>
      </c>
      <c r="BG87" s="944">
        <f>BF87-BH87</f>
        <v>13</v>
      </c>
      <c r="BH87" s="120">
        <f>SUM($BI$79:BL87)</f>
        <v>37</v>
      </c>
      <c r="BI87" s="123"/>
      <c r="BJ87" s="108"/>
      <c r="BK87" s="117"/>
      <c r="BL87" s="117"/>
      <c r="BM87" s="111"/>
    </row>
    <row r="88" spans="1:65">
      <c r="C88" s="583"/>
      <c r="I88" s="582"/>
      <c r="J88" s="583"/>
      <c r="K88" s="582"/>
      <c r="L88" s="583"/>
      <c r="P88" s="583"/>
      <c r="S88" s="583"/>
      <c r="V88" s="582"/>
      <c r="W88" s="583"/>
      <c r="X88" s="582"/>
      <c r="Y88" s="583"/>
      <c r="AC88" s="583"/>
      <c r="AI88" s="582"/>
      <c r="AJ88" s="583"/>
      <c r="AK88" s="582"/>
      <c r="AL88" s="583"/>
      <c r="AP88" s="583"/>
      <c r="AS88" s="583"/>
      <c r="AV88" s="582"/>
      <c r="AW88" s="583"/>
      <c r="AX88" s="582"/>
      <c r="AY88" s="583"/>
      <c r="BM88" s="111"/>
    </row>
    <row r="89" spans="1:65" ht="15.75">
      <c r="A89" s="126" t="s">
        <v>3</v>
      </c>
      <c r="B89" s="584">
        <f>SUM(B79:B88)</f>
        <v>17</v>
      </c>
      <c r="C89" s="108">
        <f>SUM(C79:C88)</f>
        <v>8</v>
      </c>
      <c r="D89" s="108">
        <f>SUM(D79:D88)</f>
        <v>20</v>
      </c>
      <c r="E89" s="584">
        <f>SUM(E79:E88)</f>
        <v>5</v>
      </c>
      <c r="F89" s="127">
        <f>SUM(B89:E89)</f>
        <v>50</v>
      </c>
      <c r="H89" s="127">
        <f>MAX(H79:H87)</f>
        <v>35</v>
      </c>
      <c r="I89" s="108">
        <f>SUM(I79:I88)</f>
        <v>19</v>
      </c>
      <c r="J89" s="108">
        <f>SUM(J79:J88)</f>
        <v>2</v>
      </c>
      <c r="K89" s="108">
        <f>SUM(K79:K88)</f>
        <v>6</v>
      </c>
      <c r="L89" s="108">
        <f>SUM(L79:L88)</f>
        <v>8</v>
      </c>
      <c r="N89" s="126" t="s">
        <v>3</v>
      </c>
      <c r="O89" s="108">
        <f>SUM(O79:O88)</f>
        <v>20</v>
      </c>
      <c r="P89" s="108">
        <f>SUM(P79:P88)</f>
        <v>6</v>
      </c>
      <c r="Q89" s="108">
        <f>SUM(Q79:Q88)</f>
        <v>15</v>
      </c>
      <c r="R89" s="108">
        <f>SUM(R79:R88)</f>
        <v>9</v>
      </c>
      <c r="S89" s="127">
        <f>MAX(S79:S87)</f>
        <v>50</v>
      </c>
      <c r="U89" s="127">
        <f>MAX(U79:U87)</f>
        <v>31</v>
      </c>
      <c r="V89" s="584">
        <f>SUM(V79:V88)</f>
        <v>13</v>
      </c>
      <c r="W89" s="108">
        <f>SUM(W79:W88)</f>
        <v>14</v>
      </c>
      <c r="X89" s="584">
        <f>SUM(X79:X88)</f>
        <v>0</v>
      </c>
      <c r="Y89" s="584">
        <f>SUM(Y79:Y88)</f>
        <v>4</v>
      </c>
      <c r="AA89" s="126" t="s">
        <v>3</v>
      </c>
      <c r="AB89" s="584">
        <f>SUM(AB79:AB88)</f>
        <v>11</v>
      </c>
      <c r="AC89" s="108">
        <f>SUM(AC79:AC88)</f>
        <v>13</v>
      </c>
      <c r="AD89" s="108">
        <f>SUM(AD79:AD88)</f>
        <v>11</v>
      </c>
      <c r="AE89" s="584">
        <f>SUM(AE79:AE88)</f>
        <v>4</v>
      </c>
      <c r="AF89" s="127">
        <f>SUM(AB89:AE89)</f>
        <v>39</v>
      </c>
      <c r="AH89" s="127">
        <f>MAX(AH79:AH87)</f>
        <v>50</v>
      </c>
      <c r="AI89" s="108">
        <f>SUM(AI79:AI88)</f>
        <v>13</v>
      </c>
      <c r="AJ89" s="108">
        <f>SUM(AJ79:AJ88)</f>
        <v>9</v>
      </c>
      <c r="AK89" s="108">
        <f>SUM(AK79:AK88)</f>
        <v>14</v>
      </c>
      <c r="AL89" s="108">
        <f>SUM(AL79:AL88)</f>
        <v>14</v>
      </c>
      <c r="AN89" s="126" t="s">
        <v>3</v>
      </c>
      <c r="AO89" s="108">
        <f>SUM(AO79:AO88)</f>
        <v>10</v>
      </c>
      <c r="AP89" s="108">
        <f>SUM(AP79:AP88)</f>
        <v>9</v>
      </c>
      <c r="AQ89" s="108">
        <f>SUM(AQ79:AQ88)</f>
        <v>8</v>
      </c>
      <c r="AR89" s="108">
        <f>SUM(AR79:AR88)</f>
        <v>11</v>
      </c>
      <c r="AS89" s="127">
        <f>MAX(AS79:AS87)</f>
        <v>38</v>
      </c>
      <c r="AU89" s="127">
        <f>MAX(AU79:AU87)</f>
        <v>50</v>
      </c>
      <c r="AV89" s="584">
        <f>SUM(AV79:AV88)</f>
        <v>8</v>
      </c>
      <c r="AW89" s="108">
        <f>SUM(AW79:AW88)</f>
        <v>12</v>
      </c>
      <c r="AX89" s="584">
        <f>SUM(AX79:AX88)</f>
        <v>15</v>
      </c>
      <c r="AY89" s="584">
        <f>SUM(AY79:AY88)</f>
        <v>15</v>
      </c>
      <c r="BA89" s="126" t="s">
        <v>3</v>
      </c>
      <c r="BB89" s="108">
        <f>SUM(BB79:BB87)</f>
        <v>30</v>
      </c>
      <c r="BC89" s="108">
        <f>SUM(BC79:BC87)</f>
        <v>7</v>
      </c>
      <c r="BD89" s="108">
        <f>SUM(BD79:BD87)</f>
        <v>10</v>
      </c>
      <c r="BE89" s="108">
        <f>SUM(BE79:BE87)</f>
        <v>3</v>
      </c>
      <c r="BF89" s="127">
        <f>MAX(BF79:BF87)</f>
        <v>50</v>
      </c>
      <c r="BH89" s="127">
        <f>MAX(BH79:BH87)</f>
        <v>37</v>
      </c>
      <c r="BI89" s="584">
        <f>SUM(BI79:BI87)</f>
        <v>12</v>
      </c>
      <c r="BJ89" s="584">
        <f>SUM(BJ79:BJ87)</f>
        <v>2</v>
      </c>
      <c r="BK89" s="584">
        <f>SUM(BK79:BK87)</f>
        <v>9</v>
      </c>
      <c r="BL89" s="584">
        <f>SUM(BL79:BL87)</f>
        <v>14</v>
      </c>
      <c r="BM89" s="111"/>
    </row>
    <row r="90" spans="1:65" ht="15.75">
      <c r="A90" s="128" t="s">
        <v>4</v>
      </c>
      <c r="B90" s="117">
        <f>COUNTA(B79:B88)</f>
        <v>2</v>
      </c>
      <c r="C90" s="117">
        <f>COUNTA(C79:C88)</f>
        <v>2</v>
      </c>
      <c r="D90" s="117">
        <f>COUNTA(D79:D88)</f>
        <v>2</v>
      </c>
      <c r="E90" s="117">
        <f>COUNTA(E79:E88)</f>
        <v>1</v>
      </c>
      <c r="F90" s="127">
        <f>SUM(B90:E90)</f>
        <v>7</v>
      </c>
      <c r="H90" s="127">
        <f>SUM(I90:L90)</f>
        <v>6</v>
      </c>
      <c r="I90" s="117">
        <f>COUNTA(I79:I88)</f>
        <v>2</v>
      </c>
      <c r="J90" s="117">
        <f>COUNTA(J79:J88)</f>
        <v>2</v>
      </c>
      <c r="K90" s="117">
        <f>COUNTA(K79:K88)</f>
        <v>1</v>
      </c>
      <c r="L90" s="117">
        <f>COUNTA(L79:L88)</f>
        <v>1</v>
      </c>
      <c r="N90" s="128" t="s">
        <v>4</v>
      </c>
      <c r="O90" s="117">
        <f>COUNTA(O79:O88)</f>
        <v>2</v>
      </c>
      <c r="P90" s="117">
        <f>COUNTA(P79:P88)</f>
        <v>2</v>
      </c>
      <c r="Q90" s="117">
        <f>COUNTA(Q79:Q88)</f>
        <v>2</v>
      </c>
      <c r="R90" s="117">
        <f>COUNTA(R79:R88)</f>
        <v>1</v>
      </c>
      <c r="S90" s="127">
        <f>SUM(O90:R90)</f>
        <v>7</v>
      </c>
      <c r="U90" s="127">
        <f>SUM(V90:Y90)</f>
        <v>6</v>
      </c>
      <c r="V90" s="117">
        <f>COUNTA(V79:V88)</f>
        <v>2</v>
      </c>
      <c r="W90" s="117">
        <f>COUNTA(W79:W88)</f>
        <v>2</v>
      </c>
      <c r="X90" s="117">
        <f>COUNTA(X79:X88)</f>
        <v>1</v>
      </c>
      <c r="Y90" s="117">
        <f>COUNTA(Y79:Y88)</f>
        <v>1</v>
      </c>
      <c r="AA90" s="128" t="s">
        <v>4</v>
      </c>
      <c r="AB90" s="117">
        <f>COUNTA(AB79:AB88)</f>
        <v>2</v>
      </c>
      <c r="AC90" s="117">
        <f>COUNTA(AC79:AC88)</f>
        <v>2</v>
      </c>
      <c r="AD90" s="117">
        <f>COUNTA(AD79:AD88)</f>
        <v>2</v>
      </c>
      <c r="AE90" s="117">
        <f>COUNTA(AE79:AE88)</f>
        <v>2</v>
      </c>
      <c r="AF90" s="127">
        <f>SUM(AB90:AE90)</f>
        <v>8</v>
      </c>
      <c r="AH90" s="127">
        <f>SUM(AI90:AL90)</f>
        <v>8</v>
      </c>
      <c r="AI90" s="117">
        <f>COUNTA(AI79:AI88)</f>
        <v>2</v>
      </c>
      <c r="AJ90" s="117">
        <f>COUNTA(AJ79:AJ88)</f>
        <v>2</v>
      </c>
      <c r="AK90" s="117">
        <f>COUNTA(AK79:AK88)</f>
        <v>2</v>
      </c>
      <c r="AL90" s="117">
        <f>COUNTA(AL79:AL88)</f>
        <v>2</v>
      </c>
      <c r="AN90" s="128" t="s">
        <v>4</v>
      </c>
      <c r="AO90" s="117">
        <f>COUNTA(AO79:AO88)</f>
        <v>3</v>
      </c>
      <c r="AP90" s="117">
        <f>COUNTA(AP79:AP88)</f>
        <v>2</v>
      </c>
      <c r="AQ90" s="117">
        <f>COUNTA(AQ79:AQ88)</f>
        <v>2</v>
      </c>
      <c r="AR90" s="117">
        <f>COUNTA(AR79:AR88)</f>
        <v>2</v>
      </c>
      <c r="AS90" s="127">
        <f>SUM(AO90:AR90)</f>
        <v>9</v>
      </c>
      <c r="AU90" s="127">
        <f>SUM(AV90:AY90)</f>
        <v>9</v>
      </c>
      <c r="AV90" s="117">
        <f>COUNTA(AV79:AV88)</f>
        <v>3</v>
      </c>
      <c r="AW90" s="117">
        <f>COUNTA(AW79:AW88)</f>
        <v>2</v>
      </c>
      <c r="AX90" s="117">
        <f>COUNTA(AX79:AX88)</f>
        <v>2</v>
      </c>
      <c r="AY90" s="117">
        <f>COUNTA(AY79:AY88)</f>
        <v>2</v>
      </c>
      <c r="BA90" s="128" t="s">
        <v>4</v>
      </c>
      <c r="BB90" s="117">
        <f>COUNTA(BB79:BB87)</f>
        <v>3</v>
      </c>
      <c r="BC90" s="117">
        <f>COUNTA(BC79:BC87)</f>
        <v>2</v>
      </c>
      <c r="BD90" s="117">
        <f>COUNTA(BD79:BD87)</f>
        <v>2</v>
      </c>
      <c r="BE90" s="117">
        <f>COUNTA(BE79:BE87)</f>
        <v>2</v>
      </c>
      <c r="BF90" s="127">
        <f>SUM(BB90:BE90)</f>
        <v>9</v>
      </c>
      <c r="BH90" s="127">
        <f>SUM(BI90:BL90)</f>
        <v>8</v>
      </c>
      <c r="BI90" s="117">
        <f>COUNTA(BI79:BI87)</f>
        <v>2</v>
      </c>
      <c r="BJ90" s="117">
        <f>COUNTA(BJ79:BJ87)</f>
        <v>2</v>
      </c>
      <c r="BK90" s="117">
        <f>COUNTA(BK79:BK87)</f>
        <v>2</v>
      </c>
      <c r="BL90" s="117">
        <f>COUNTA(BL79:BL87)</f>
        <v>2</v>
      </c>
      <c r="BM90" s="111"/>
    </row>
    <row r="91" spans="1:65" ht="15.75">
      <c r="A91" s="126" t="s">
        <v>6</v>
      </c>
      <c r="B91" s="584">
        <f>B90-COUNT(B79:B88)</f>
        <v>0</v>
      </c>
      <c r="C91" s="584">
        <f>C90-COUNT(C79:C88)</f>
        <v>1</v>
      </c>
      <c r="D91" s="108">
        <f>D90-COUNT(D79:D88)</f>
        <v>0</v>
      </c>
      <c r="E91" s="108">
        <f>E90-COUNT(E79:E88)</f>
        <v>0</v>
      </c>
      <c r="F91" s="127">
        <f>SUM(B91:E91)</f>
        <v>1</v>
      </c>
      <c r="H91" s="127">
        <f>SUM(I91:L91)</f>
        <v>1</v>
      </c>
      <c r="I91" s="108">
        <f>I90-COUNT(I79:I88)</f>
        <v>0</v>
      </c>
      <c r="J91" s="108">
        <f>J90-COUNT(J79:J88)</f>
        <v>1</v>
      </c>
      <c r="K91" s="108">
        <f>K90-COUNT(K79:K88)</f>
        <v>0</v>
      </c>
      <c r="L91" s="108">
        <f>L90-COUNT(L79:L88)</f>
        <v>0</v>
      </c>
      <c r="N91" s="126" t="s">
        <v>6</v>
      </c>
      <c r="O91" s="108">
        <f>O90-COUNT(O79:O88)</f>
        <v>0</v>
      </c>
      <c r="P91" s="108">
        <f>P90-COUNT(P79:P88)</f>
        <v>1</v>
      </c>
      <c r="Q91" s="108">
        <f>Q90-COUNT(Q79:Q88)</f>
        <v>0</v>
      </c>
      <c r="R91" s="108">
        <f>R90-COUNT(R79:R88)</f>
        <v>0</v>
      </c>
      <c r="S91" s="127">
        <f>SUM(O91:R91)</f>
        <v>1</v>
      </c>
      <c r="U91" s="127">
        <f>SUM(V91:Y91)</f>
        <v>1</v>
      </c>
      <c r="V91" s="108">
        <f>V90-COUNT(V79:V88)</f>
        <v>0</v>
      </c>
      <c r="W91" s="108">
        <f>W90-COUNT(W79:W88)</f>
        <v>0</v>
      </c>
      <c r="X91" s="108">
        <f>X90-COUNT(X79:X88)</f>
        <v>1</v>
      </c>
      <c r="Y91" s="108">
        <f>Y90-COUNT(Y79:Y88)</f>
        <v>0</v>
      </c>
      <c r="AA91" s="126" t="s">
        <v>6</v>
      </c>
      <c r="AB91" s="584">
        <f>AB90-COUNT(AB79:AB88)</f>
        <v>1</v>
      </c>
      <c r="AC91" s="584">
        <f>AC90-COUNT(AC79:AC88)</f>
        <v>0</v>
      </c>
      <c r="AD91" s="108">
        <f>AD90-COUNT(AD79:AD88)</f>
        <v>0</v>
      </c>
      <c r="AE91" s="108">
        <f>AE90-COUNT(AE79:AE88)</f>
        <v>1</v>
      </c>
      <c r="AF91" s="127">
        <f>SUM(AB91:AE91)</f>
        <v>2</v>
      </c>
      <c r="AH91" s="127">
        <f>SUM(AI91:AL91)</f>
        <v>0</v>
      </c>
      <c r="AI91" s="108">
        <f>AI90-COUNT(AI79:AI88)</f>
        <v>0</v>
      </c>
      <c r="AJ91" s="108">
        <f>AJ90-COUNT(AJ79:AJ88)</f>
        <v>0</v>
      </c>
      <c r="AK91" s="108">
        <f>AK90-COUNT(AK79:AK88)</f>
        <v>0</v>
      </c>
      <c r="AL91" s="108">
        <f>AL90-COUNT(AL79:AL88)</f>
        <v>0</v>
      </c>
      <c r="AN91" s="126" t="s">
        <v>6</v>
      </c>
      <c r="AO91" s="108">
        <f>AO90-COUNT(AO79:AO88)</f>
        <v>1</v>
      </c>
      <c r="AP91" s="108">
        <f>AP90-COUNT(AP79:AP88)</f>
        <v>1</v>
      </c>
      <c r="AQ91" s="108">
        <f>AQ90-COUNT(AQ79:AQ88)</f>
        <v>0</v>
      </c>
      <c r="AR91" s="108">
        <f>AR90-COUNT(AR79:AR88)</f>
        <v>1</v>
      </c>
      <c r="AS91" s="127">
        <f>SUM(AO91:AR91)</f>
        <v>3</v>
      </c>
      <c r="AU91" s="127">
        <f>SUM(AV91:AY91)</f>
        <v>2</v>
      </c>
      <c r="AV91" s="108">
        <f>AV90-COUNT(AV79:AV88)</f>
        <v>1</v>
      </c>
      <c r="AW91" s="108">
        <f>AW90-COUNT(AW79:AW88)</f>
        <v>1</v>
      </c>
      <c r="AX91" s="108">
        <f>AX90-COUNT(AX79:AX88)</f>
        <v>0</v>
      </c>
      <c r="AY91" s="108">
        <f>AY90-COUNT(AY79:AY88)</f>
        <v>0</v>
      </c>
      <c r="BA91" s="126" t="s">
        <v>6</v>
      </c>
      <c r="BB91" s="108">
        <f>BB90-COUNT(BB79:BB87)</f>
        <v>0</v>
      </c>
      <c r="BC91" s="108">
        <f>BC90-COUNT(BC79:BC87)</f>
        <v>1</v>
      </c>
      <c r="BD91" s="108">
        <f>BD90-COUNT(BD79:BD87)</f>
        <v>0</v>
      </c>
      <c r="BE91" s="108">
        <f>BE90-COUNT(BE79:BE87)</f>
        <v>1</v>
      </c>
      <c r="BF91" s="127">
        <f>SUM(BB91:BE91)</f>
        <v>2</v>
      </c>
      <c r="BH91" s="127">
        <f>SUM(BI91:BL91)</f>
        <v>1</v>
      </c>
      <c r="BI91" s="108">
        <f>BI90-COUNT(BI79:BI87)</f>
        <v>0</v>
      </c>
      <c r="BJ91" s="108">
        <f>BJ90-COUNT(BJ79:BJ87)</f>
        <v>1</v>
      </c>
      <c r="BK91" s="108">
        <f>BK90-COUNT(BK79:BK87)</f>
        <v>0</v>
      </c>
      <c r="BL91" s="108">
        <f>BL90-COUNT(BL79:BL87)</f>
        <v>0</v>
      </c>
      <c r="BM91" s="111"/>
    </row>
    <row r="92" spans="1:65" ht="15.75">
      <c r="A92" s="126" t="s">
        <v>12</v>
      </c>
      <c r="B92" s="131">
        <f>B91/B90</f>
        <v>0</v>
      </c>
      <c r="C92" s="131">
        <f>C91/C90</f>
        <v>0.5</v>
      </c>
      <c r="D92" s="129">
        <f>D91/D90</f>
        <v>0</v>
      </c>
      <c r="E92" s="129">
        <f>E91/E90</f>
        <v>0</v>
      </c>
      <c r="F92" s="130">
        <f>F91/F90</f>
        <v>0.14285714285714285</v>
      </c>
      <c r="H92" s="130">
        <f>H91/H90</f>
        <v>0.16666666666666666</v>
      </c>
      <c r="I92" s="933">
        <f>I91/I90</f>
        <v>0</v>
      </c>
      <c r="J92" s="129">
        <f>J91/J90</f>
        <v>0.5</v>
      </c>
      <c r="K92" s="129">
        <f>K91/K90</f>
        <v>0</v>
      </c>
      <c r="L92" s="129">
        <f>L91/L90</f>
        <v>0</v>
      </c>
      <c r="N92" s="126" t="s">
        <v>12</v>
      </c>
      <c r="O92" s="933">
        <f>O91/O90</f>
        <v>0</v>
      </c>
      <c r="P92" s="129">
        <f>P91/P90</f>
        <v>0.5</v>
      </c>
      <c r="Q92" s="129">
        <f>Q91/Q90</f>
        <v>0</v>
      </c>
      <c r="R92" s="129">
        <f>R91/R90</f>
        <v>0</v>
      </c>
      <c r="S92" s="130">
        <f>S91/S90</f>
        <v>0.14285714285714285</v>
      </c>
      <c r="U92" s="130">
        <f>U91/U90</f>
        <v>0.16666666666666666</v>
      </c>
      <c r="V92" s="129">
        <f>V91/V90</f>
        <v>0</v>
      </c>
      <c r="W92" s="129">
        <f>W91/W90</f>
        <v>0</v>
      </c>
      <c r="X92" s="129">
        <f>X91/X90</f>
        <v>1</v>
      </c>
      <c r="Y92" s="129">
        <f>Y91/Y90</f>
        <v>0</v>
      </c>
      <c r="AA92" s="126" t="s">
        <v>12</v>
      </c>
      <c r="AB92" s="131">
        <f>AB91/AB90</f>
        <v>0.5</v>
      </c>
      <c r="AC92" s="131">
        <f>AC91/AC90</f>
        <v>0</v>
      </c>
      <c r="AD92" s="129">
        <f>AD91/AD90</f>
        <v>0</v>
      </c>
      <c r="AE92" s="129">
        <f>AE91/AE90</f>
        <v>0.5</v>
      </c>
      <c r="AF92" s="130">
        <f>AF91/AF90</f>
        <v>0.25</v>
      </c>
      <c r="AH92" s="130">
        <f>AH91/AH90</f>
        <v>0</v>
      </c>
      <c r="AI92" s="933">
        <f>AI91/AI90</f>
        <v>0</v>
      </c>
      <c r="AJ92" s="129">
        <f>AJ91/AJ90</f>
        <v>0</v>
      </c>
      <c r="AK92" s="129">
        <f>AK91/AK90</f>
        <v>0</v>
      </c>
      <c r="AL92" s="129">
        <f>AL91/AL90</f>
        <v>0</v>
      </c>
      <c r="AN92" s="126" t="s">
        <v>12</v>
      </c>
      <c r="AO92" s="933">
        <f>AO91/AO90</f>
        <v>0.33333333333333331</v>
      </c>
      <c r="AP92" s="129">
        <f>AP91/AP90</f>
        <v>0.5</v>
      </c>
      <c r="AQ92" s="129">
        <f>AQ91/AQ90</f>
        <v>0</v>
      </c>
      <c r="AR92" s="129">
        <f>AR91/AR90</f>
        <v>0.5</v>
      </c>
      <c r="AS92" s="130">
        <f>AS91/AS90</f>
        <v>0.33333333333333331</v>
      </c>
      <c r="AU92" s="130">
        <f>AU91/AU90</f>
        <v>0.22222222222222221</v>
      </c>
      <c r="AV92" s="129">
        <f>AV91/AV90</f>
        <v>0.33333333333333331</v>
      </c>
      <c r="AW92" s="129">
        <f>AW91/AW90</f>
        <v>0.5</v>
      </c>
      <c r="AX92" s="129">
        <f>AX91/AX90</f>
        <v>0</v>
      </c>
      <c r="AY92" s="129">
        <f>AY91/AY90</f>
        <v>0</v>
      </c>
      <c r="BA92" s="126" t="s">
        <v>12</v>
      </c>
      <c r="BB92" s="933">
        <f>BB91/BB90</f>
        <v>0</v>
      </c>
      <c r="BC92" s="129">
        <f>BC91/BC90</f>
        <v>0.5</v>
      </c>
      <c r="BD92" s="129">
        <f>BD91/BD90</f>
        <v>0</v>
      </c>
      <c r="BE92" s="129">
        <f>BE91/BE90</f>
        <v>0.5</v>
      </c>
      <c r="BF92" s="130">
        <f>BF91/BF90</f>
        <v>0.22222222222222221</v>
      </c>
      <c r="BH92" s="130">
        <f>BH91/BH90</f>
        <v>0.125</v>
      </c>
      <c r="BI92" s="129">
        <f>BI91/BI90</f>
        <v>0</v>
      </c>
      <c r="BJ92" s="129">
        <f>BJ91/BJ90</f>
        <v>0.5</v>
      </c>
      <c r="BK92" s="129">
        <f>BK91/BK90</f>
        <v>0</v>
      </c>
      <c r="BL92" s="129">
        <f>BL91/BL90</f>
        <v>0</v>
      </c>
      <c r="BM92" s="111"/>
    </row>
    <row r="93" spans="1:65" ht="15.75">
      <c r="A93" s="126" t="s">
        <v>5</v>
      </c>
      <c r="B93" s="134">
        <f>B89/B90</f>
        <v>8.5</v>
      </c>
      <c r="C93" s="132">
        <f>C89/C90</f>
        <v>4</v>
      </c>
      <c r="D93" s="132">
        <f>D89/D90</f>
        <v>10</v>
      </c>
      <c r="E93" s="132">
        <f>E89/E90</f>
        <v>5</v>
      </c>
      <c r="F93" s="133">
        <f>F89/F90</f>
        <v>7.1428571428571432</v>
      </c>
      <c r="H93" s="133">
        <f>H89/H90</f>
        <v>5.833333333333333</v>
      </c>
      <c r="I93" s="132">
        <f>I89/I90</f>
        <v>9.5</v>
      </c>
      <c r="J93" s="132">
        <f>J89/J90</f>
        <v>1</v>
      </c>
      <c r="K93" s="132">
        <f>K89/K90</f>
        <v>6</v>
      </c>
      <c r="L93" s="132">
        <f>L89/L90</f>
        <v>8</v>
      </c>
      <c r="N93" s="126" t="s">
        <v>5</v>
      </c>
      <c r="O93" s="132">
        <f>O89/O90</f>
        <v>10</v>
      </c>
      <c r="P93" s="132">
        <f>P89/P90</f>
        <v>3</v>
      </c>
      <c r="Q93" s="132">
        <f>Q89/Q90</f>
        <v>7.5</v>
      </c>
      <c r="R93" s="132">
        <f>R89/R90</f>
        <v>9</v>
      </c>
      <c r="S93" s="133">
        <f>S89/S90</f>
        <v>7.1428571428571432</v>
      </c>
      <c r="U93" s="133">
        <f>U89/U90</f>
        <v>5.166666666666667</v>
      </c>
      <c r="V93" s="134">
        <f>V89/V90</f>
        <v>6.5</v>
      </c>
      <c r="W93" s="132">
        <f>W89/W90</f>
        <v>7</v>
      </c>
      <c r="X93" s="132">
        <f>X89/X90</f>
        <v>0</v>
      </c>
      <c r="Y93" s="132">
        <f>Y89/Y90</f>
        <v>4</v>
      </c>
      <c r="AA93" s="126" t="s">
        <v>5</v>
      </c>
      <c r="AB93" s="134">
        <f>AB89/AB90</f>
        <v>5.5</v>
      </c>
      <c r="AC93" s="132">
        <f>AC89/AC90</f>
        <v>6.5</v>
      </c>
      <c r="AD93" s="132">
        <f>AD89/AD90</f>
        <v>5.5</v>
      </c>
      <c r="AE93" s="132">
        <f>AE89/AE90</f>
        <v>2</v>
      </c>
      <c r="AF93" s="133">
        <f>AF89/AF90</f>
        <v>4.875</v>
      </c>
      <c r="AH93" s="133">
        <f>AH89/AH90</f>
        <v>6.25</v>
      </c>
      <c r="AI93" s="132">
        <f>AI89/AI90</f>
        <v>6.5</v>
      </c>
      <c r="AJ93" s="132">
        <f>AJ89/AJ90</f>
        <v>4.5</v>
      </c>
      <c r="AK93" s="132">
        <f>AK89/AK90</f>
        <v>7</v>
      </c>
      <c r="AL93" s="132">
        <f>AL89/AL90</f>
        <v>7</v>
      </c>
      <c r="AN93" s="126" t="s">
        <v>5</v>
      </c>
      <c r="AO93" s="132">
        <f>AO89/AO90</f>
        <v>3.3333333333333335</v>
      </c>
      <c r="AP93" s="132">
        <f>AP89/AP90</f>
        <v>4.5</v>
      </c>
      <c r="AQ93" s="132">
        <f>AQ89/AQ90</f>
        <v>4</v>
      </c>
      <c r="AR93" s="132">
        <f>AR89/AR90</f>
        <v>5.5</v>
      </c>
      <c r="AS93" s="133">
        <f>AS89/AS90</f>
        <v>4.2222222222222223</v>
      </c>
      <c r="AU93" s="133">
        <f>AU89/AU90</f>
        <v>5.5555555555555554</v>
      </c>
      <c r="AV93" s="134">
        <f>AV89/AV90</f>
        <v>2.6666666666666665</v>
      </c>
      <c r="AW93" s="132">
        <f>AW89/AW90</f>
        <v>6</v>
      </c>
      <c r="AX93" s="132">
        <f>AX89/AX90</f>
        <v>7.5</v>
      </c>
      <c r="AY93" s="132">
        <f>AY89/AY90</f>
        <v>7.5</v>
      </c>
      <c r="BA93" s="126" t="s">
        <v>5</v>
      </c>
      <c r="BB93" s="132">
        <f>BB89/BB90</f>
        <v>10</v>
      </c>
      <c r="BC93" s="132">
        <f>BC89/BC90</f>
        <v>3.5</v>
      </c>
      <c r="BD93" s="132">
        <f>BD89/BD90</f>
        <v>5</v>
      </c>
      <c r="BE93" s="132">
        <f>BE89/BE90</f>
        <v>1.5</v>
      </c>
      <c r="BF93" s="133">
        <f>BF89/BF90</f>
        <v>5.5555555555555554</v>
      </c>
      <c r="BH93" s="133">
        <f>BH89/BH90</f>
        <v>4.625</v>
      </c>
      <c r="BI93" s="134">
        <f>BI89/BI90</f>
        <v>6</v>
      </c>
      <c r="BJ93" s="132">
        <f>BJ89/BJ90</f>
        <v>1</v>
      </c>
      <c r="BK93" s="132">
        <f>BK89/BK90</f>
        <v>4.5</v>
      </c>
      <c r="BL93" s="132">
        <f>BL89/BL90</f>
        <v>7</v>
      </c>
      <c r="BM93" s="111"/>
    </row>
    <row r="94" spans="1:65" ht="15.75">
      <c r="A94" s="126" t="s">
        <v>8</v>
      </c>
      <c r="B94" s="135">
        <f>B89/(B90-B91)</f>
        <v>8.5</v>
      </c>
      <c r="C94" s="132">
        <f>C89/(C90-C91)</f>
        <v>8</v>
      </c>
      <c r="D94" s="134">
        <f>D89/(D90-D91)</f>
        <v>10</v>
      </c>
      <c r="E94" s="135">
        <f>E89/(E90-E91)</f>
        <v>5</v>
      </c>
      <c r="F94" s="136">
        <f>F89/(F90-F91)</f>
        <v>8.3333333333333339</v>
      </c>
      <c r="H94" s="136">
        <f>H89/(H90-H91)</f>
        <v>7</v>
      </c>
      <c r="I94" s="135">
        <f>I89/(I90-I91)</f>
        <v>9.5</v>
      </c>
      <c r="J94" s="135">
        <f>J89/(J90-J91)</f>
        <v>2</v>
      </c>
      <c r="K94" s="135">
        <f>K89/(K90-K91)</f>
        <v>6</v>
      </c>
      <c r="L94" s="135">
        <f>L89/(L90-L91)</f>
        <v>8</v>
      </c>
      <c r="N94" s="126" t="s">
        <v>8</v>
      </c>
      <c r="O94" s="135">
        <f>O89/(O90-O91)</f>
        <v>10</v>
      </c>
      <c r="P94" s="135">
        <f>P89/(P90-P91)</f>
        <v>6</v>
      </c>
      <c r="Q94" s="135">
        <f>Q89/(Q90-Q91)</f>
        <v>7.5</v>
      </c>
      <c r="R94" s="135">
        <f>R89/(R90-R91)</f>
        <v>9</v>
      </c>
      <c r="S94" s="136">
        <f>S89/(S90-S91)</f>
        <v>8.3333333333333339</v>
      </c>
      <c r="U94" s="136">
        <f>U89/(U90-U91)</f>
        <v>6.2</v>
      </c>
      <c r="V94" s="134">
        <f>V89/(V90-V91)</f>
        <v>6.5</v>
      </c>
      <c r="W94" s="135">
        <f>W89/(W90-W91)</f>
        <v>7</v>
      </c>
      <c r="X94" s="955">
        <v>0</v>
      </c>
      <c r="Y94" s="132">
        <f>Y89/(Y90-Y91)</f>
        <v>4</v>
      </c>
      <c r="AA94" s="126" t="s">
        <v>8</v>
      </c>
      <c r="AB94" s="135">
        <f>AB89/(AB90-AB91)</f>
        <v>11</v>
      </c>
      <c r="AC94" s="132">
        <f>AC89/(AC90-AC91)</f>
        <v>6.5</v>
      </c>
      <c r="AD94" s="134">
        <f>AD89/(AD90-AD91)</f>
        <v>5.5</v>
      </c>
      <c r="AE94" s="135">
        <f>AE89/(AE90-AE91)</f>
        <v>4</v>
      </c>
      <c r="AF94" s="136">
        <f>AF89/(AF90-AF91)</f>
        <v>6.5</v>
      </c>
      <c r="AH94" s="136">
        <f>AH89/(AH90-AH91)</f>
        <v>6.25</v>
      </c>
      <c r="AI94" s="135">
        <f>AI89/(AI90-AI91)</f>
        <v>6.5</v>
      </c>
      <c r="AJ94" s="135">
        <f>AJ89/(AJ90-AJ91)</f>
        <v>4.5</v>
      </c>
      <c r="AK94" s="135">
        <f>AK89/(AK90-AK91)</f>
        <v>7</v>
      </c>
      <c r="AL94" s="135">
        <f>AL89/(AL90-AL91)</f>
        <v>7</v>
      </c>
      <c r="AN94" s="126" t="s">
        <v>8</v>
      </c>
      <c r="AO94" s="135">
        <f>AO89/(AO90-AO91)</f>
        <v>5</v>
      </c>
      <c r="AP94" s="135">
        <f>AP89/(AP90-AP91)</f>
        <v>9</v>
      </c>
      <c r="AQ94" s="135">
        <f>AQ89/(AQ90-AQ91)</f>
        <v>4</v>
      </c>
      <c r="AR94" s="135">
        <f>AR89/(AR90-AR91)</f>
        <v>11</v>
      </c>
      <c r="AS94" s="136">
        <f>AS89/(AS90-AS91)</f>
        <v>6.333333333333333</v>
      </c>
      <c r="AU94" s="136">
        <f>AU89/(AU90-AU91)</f>
        <v>7.1428571428571432</v>
      </c>
      <c r="AV94" s="134">
        <f>AV89/(AV90-AV91)</f>
        <v>4</v>
      </c>
      <c r="AW94" s="135">
        <f>AW89/(AW90-AW91)</f>
        <v>12</v>
      </c>
      <c r="AX94" s="132">
        <f>AX89/(AX90-AX91)</f>
        <v>7.5</v>
      </c>
      <c r="AY94" s="132">
        <f>AY89/(AY90-AY91)</f>
        <v>7.5</v>
      </c>
      <c r="BA94" s="126" t="s">
        <v>8</v>
      </c>
      <c r="BB94" s="135">
        <f>BB89/(BB90-BB91)</f>
        <v>10</v>
      </c>
      <c r="BC94" s="135">
        <f>BC89/(BC90-BC91)</f>
        <v>7</v>
      </c>
      <c r="BD94" s="135">
        <f>BD89/(BD90-BD91)</f>
        <v>5</v>
      </c>
      <c r="BE94" s="135">
        <f>BE89/(BE90-BE91)</f>
        <v>3</v>
      </c>
      <c r="BF94" s="136">
        <f>BF89/(BF90-BF91)</f>
        <v>7.1428571428571432</v>
      </c>
      <c r="BH94" s="136">
        <f>BH89/(BH90-BH91)</f>
        <v>5.2857142857142856</v>
      </c>
      <c r="BI94" s="134">
        <f>BI89/(BI90-BI91)</f>
        <v>6</v>
      </c>
      <c r="BJ94" s="135">
        <f>BJ89/(BJ90-BJ91)</f>
        <v>2</v>
      </c>
      <c r="BK94" s="132">
        <f>BK89/(BK90-BK91)</f>
        <v>4.5</v>
      </c>
      <c r="BL94" s="132">
        <f>BL89/(BL90-BL91)</f>
        <v>7</v>
      </c>
      <c r="BM94" s="111"/>
    </row>
    <row r="95" spans="1:65" s="111" customFormat="1">
      <c r="A95" s="109"/>
      <c r="B95" s="110"/>
      <c r="C95" s="110"/>
      <c r="D95" s="110"/>
      <c r="E95" s="580"/>
      <c r="F95" s="580"/>
      <c r="N95" s="109"/>
      <c r="O95" s="110"/>
      <c r="P95" s="110"/>
      <c r="Q95" s="110"/>
      <c r="R95" s="580"/>
      <c r="AA95" s="109"/>
      <c r="AB95" s="110"/>
      <c r="AC95" s="110"/>
      <c r="AD95" s="110"/>
      <c r="AE95" s="580"/>
      <c r="AF95" s="580"/>
      <c r="AN95" s="109"/>
      <c r="AO95" s="110"/>
      <c r="AP95" s="110"/>
      <c r="AQ95" s="110"/>
      <c r="AR95" s="580"/>
    </row>
    <row r="96" spans="1:65" ht="15.75">
      <c r="B96" s="1540" t="s">
        <v>155</v>
      </c>
      <c r="C96" s="1540"/>
      <c r="D96" s="1540"/>
      <c r="E96" s="1540"/>
      <c r="F96" s="113"/>
      <c r="H96" s="113"/>
      <c r="I96" s="1543" t="s">
        <v>146</v>
      </c>
      <c r="J96" s="1543"/>
      <c r="K96" s="1543"/>
      <c r="L96" s="1543"/>
      <c r="O96" s="1543" t="s">
        <v>146</v>
      </c>
      <c r="P96" s="1543"/>
      <c r="Q96" s="1543"/>
      <c r="R96" s="1543"/>
      <c r="S96" s="113"/>
      <c r="U96" s="113"/>
      <c r="V96" s="1540" t="s">
        <v>155</v>
      </c>
      <c r="W96" s="1540"/>
      <c r="X96" s="1540"/>
      <c r="Y96" s="1540"/>
      <c r="AA96" s="502"/>
      <c r="AB96" s="502"/>
      <c r="AC96" s="502"/>
      <c r="AD96" s="502"/>
      <c r="AE96" s="502"/>
      <c r="AF96" s="502"/>
      <c r="AN96" s="502"/>
      <c r="AO96" s="502"/>
      <c r="AP96" s="502"/>
      <c r="AQ96" s="502"/>
      <c r="AR96" s="502"/>
    </row>
    <row r="97" spans="1:52" ht="15.75">
      <c r="B97" s="469">
        <v>1</v>
      </c>
      <c r="C97" s="470">
        <v>2</v>
      </c>
      <c r="D97" s="471">
        <v>3</v>
      </c>
      <c r="E97" s="872">
        <v>4</v>
      </c>
      <c r="F97" s="113">
        <f>IF(COUNTIF(F99:F106,"&gt;37")=0,0,COUNTIF(F99:F106,"&gt;37")-1)</f>
        <v>1</v>
      </c>
      <c r="H97" s="113">
        <f>IF(COUNTIF(H99:H106,"&gt;37")=0,0,COUNTIF(H99:H106,"&gt;37")-1)</f>
        <v>0</v>
      </c>
      <c r="I97" s="934">
        <v>1</v>
      </c>
      <c r="J97" s="935">
        <v>2</v>
      </c>
      <c r="K97" s="936">
        <v>3</v>
      </c>
      <c r="L97" s="937">
        <v>4</v>
      </c>
      <c r="O97" s="934">
        <v>1</v>
      </c>
      <c r="P97" s="935">
        <v>2</v>
      </c>
      <c r="Q97" s="936">
        <v>3</v>
      </c>
      <c r="R97" s="937">
        <v>4</v>
      </c>
      <c r="S97" s="113">
        <f>IF(COUNTIF(S99:S106,"&gt;37")=0,0,COUNTIF(S99:S106,"&gt;37")-1)</f>
        <v>0</v>
      </c>
      <c r="U97" s="113">
        <f>IF(COUNTIF(U99:U106,"&gt;37")=0,0,COUNTIF(U99:U106,"&gt;37")-1)</f>
        <v>1</v>
      </c>
      <c r="V97" s="469">
        <v>1</v>
      </c>
      <c r="W97" s="470">
        <v>2</v>
      </c>
      <c r="X97" s="471">
        <v>3</v>
      </c>
      <c r="Y97" s="872">
        <v>4</v>
      </c>
      <c r="AA97" s="502"/>
      <c r="AB97" s="502"/>
      <c r="AC97" s="502"/>
      <c r="AD97" s="502"/>
      <c r="AE97" s="502"/>
      <c r="AF97" s="502"/>
      <c r="AN97" s="502"/>
      <c r="AO97" s="502"/>
      <c r="AP97" s="502"/>
      <c r="AQ97" s="502"/>
      <c r="AR97" s="502"/>
    </row>
    <row r="98" spans="1:52" s="596" customFormat="1" ht="48.75">
      <c r="A98" s="591"/>
      <c r="B98" s="473" t="s">
        <v>54</v>
      </c>
      <c r="C98" s="474" t="s">
        <v>57</v>
      </c>
      <c r="D98" s="475" t="s">
        <v>115</v>
      </c>
      <c r="E98" s="476" t="s">
        <v>116</v>
      </c>
      <c r="F98" s="593"/>
      <c r="G98" s="593"/>
      <c r="H98" s="593"/>
      <c r="I98" s="938" t="s">
        <v>164</v>
      </c>
      <c r="J98" s="939" t="s">
        <v>165</v>
      </c>
      <c r="K98" s="939" t="s">
        <v>166</v>
      </c>
      <c r="L98" s="943" t="s">
        <v>167</v>
      </c>
      <c r="M98" s="641"/>
      <c r="N98" s="591"/>
      <c r="O98" s="938" t="s">
        <v>164</v>
      </c>
      <c r="P98" s="939" t="s">
        <v>165</v>
      </c>
      <c r="Q98" s="939" t="s">
        <v>166</v>
      </c>
      <c r="R98" s="943" t="s">
        <v>167</v>
      </c>
      <c r="S98" s="593"/>
      <c r="T98" s="593"/>
      <c r="U98" s="593"/>
      <c r="V98" s="473" t="s">
        <v>54</v>
      </c>
      <c r="W98" s="474" t="s">
        <v>57</v>
      </c>
      <c r="X98" s="475" t="s">
        <v>115</v>
      </c>
      <c r="Y98" s="476" t="s">
        <v>116</v>
      </c>
      <c r="Z98" s="641"/>
      <c r="AM98" s="111"/>
      <c r="AZ98" s="111"/>
    </row>
    <row r="99" spans="1:52" ht="15.75">
      <c r="A99" s="118">
        <v>1</v>
      </c>
      <c r="B99" s="108">
        <v>10</v>
      </c>
      <c r="C99" s="117"/>
      <c r="D99" s="117"/>
      <c r="E99" s="119"/>
      <c r="F99" s="120">
        <f>SUM(B$99:$E99)</f>
        <v>10</v>
      </c>
      <c r="G99" s="944">
        <f>F99-H99</f>
        <v>1</v>
      </c>
      <c r="H99" s="120">
        <f>SUM(I$99:$L99)</f>
        <v>9</v>
      </c>
      <c r="I99" s="121">
        <v>9</v>
      </c>
      <c r="J99" s="117"/>
      <c r="K99" s="117"/>
      <c r="L99" s="107"/>
      <c r="N99" s="118">
        <v>1</v>
      </c>
      <c r="O99" s="108">
        <v>10</v>
      </c>
      <c r="P99" s="117"/>
      <c r="Q99" s="117"/>
      <c r="R99" s="119"/>
      <c r="S99" s="120">
        <f>SUM($O$99:R99)</f>
        <v>10</v>
      </c>
      <c r="T99" s="944">
        <f>S99-U99</f>
        <v>2</v>
      </c>
      <c r="U99" s="120">
        <f>SUM($V$99:Y99)</f>
        <v>8</v>
      </c>
      <c r="V99" s="121">
        <v>8</v>
      </c>
      <c r="W99" s="117"/>
      <c r="X99" s="117"/>
      <c r="Y99" s="107"/>
      <c r="AA99" s="502"/>
      <c r="AB99" s="502"/>
      <c r="AC99" s="502"/>
      <c r="AD99" s="502"/>
      <c r="AE99" s="502"/>
      <c r="AF99" s="502"/>
      <c r="AN99" s="502"/>
      <c r="AO99" s="502"/>
      <c r="AP99" s="502"/>
      <c r="AQ99" s="502"/>
      <c r="AR99" s="502"/>
    </row>
    <row r="100" spans="1:52" ht="15.75">
      <c r="A100" s="122">
        <v>2</v>
      </c>
      <c r="B100" s="117"/>
      <c r="C100" s="108">
        <v>9</v>
      </c>
      <c r="D100" s="117"/>
      <c r="E100" s="114"/>
      <c r="F100" s="120">
        <f>SUM(B$99:$E100)</f>
        <v>19</v>
      </c>
      <c r="G100" s="944">
        <f t="shared" ref="G100:G104" si="16">F100-H100</f>
        <v>3</v>
      </c>
      <c r="H100" s="120">
        <f>SUM(I$99:$L100)</f>
        <v>16</v>
      </c>
      <c r="I100" s="123"/>
      <c r="J100" s="108">
        <v>7</v>
      </c>
      <c r="K100" s="117"/>
      <c r="L100" s="117"/>
      <c r="N100" s="122">
        <v>2</v>
      </c>
      <c r="O100" s="117"/>
      <c r="P100" s="108">
        <v>2</v>
      </c>
      <c r="Q100" s="117"/>
      <c r="R100" s="114"/>
      <c r="S100" s="120">
        <f>SUM($O$99:R100)</f>
        <v>12</v>
      </c>
      <c r="T100" s="944">
        <f t="shared" ref="T100:T105" si="17">S100-U100</f>
        <v>-4</v>
      </c>
      <c r="U100" s="120">
        <f>SUM($V$99:Y100)</f>
        <v>16</v>
      </c>
      <c r="V100" s="123"/>
      <c r="W100" s="108">
        <v>8</v>
      </c>
      <c r="X100" s="117"/>
      <c r="Y100" s="117"/>
      <c r="AA100" s="502"/>
      <c r="AB100" s="502"/>
      <c r="AC100" s="502"/>
      <c r="AD100" s="502"/>
      <c r="AE100" s="502"/>
      <c r="AF100" s="502"/>
      <c r="AN100" s="502"/>
      <c r="AO100" s="502"/>
      <c r="AP100" s="502"/>
      <c r="AQ100" s="502"/>
      <c r="AR100" s="502"/>
    </row>
    <row r="101" spans="1:52" ht="15.75">
      <c r="A101" s="122">
        <v>3</v>
      </c>
      <c r="B101" s="108"/>
      <c r="C101" s="117"/>
      <c r="D101" s="117">
        <v>5</v>
      </c>
      <c r="E101" s="119"/>
      <c r="F101" s="120">
        <f>SUM(B$99:$E101)</f>
        <v>24</v>
      </c>
      <c r="G101" s="944">
        <f t="shared" si="16"/>
        <v>1</v>
      </c>
      <c r="H101" s="120">
        <f>SUM(I$99:$L101)</f>
        <v>23</v>
      </c>
      <c r="I101" s="121"/>
      <c r="J101" s="117"/>
      <c r="K101" s="117">
        <v>7</v>
      </c>
      <c r="L101" s="107"/>
      <c r="N101" s="122">
        <v>3</v>
      </c>
      <c r="O101" s="108"/>
      <c r="P101" s="117"/>
      <c r="Q101" s="117">
        <v>9</v>
      </c>
      <c r="R101" s="119"/>
      <c r="S101" s="120">
        <f>SUM($O$99:R101)</f>
        <v>21</v>
      </c>
      <c r="T101" s="944">
        <f t="shared" si="17"/>
        <v>-4</v>
      </c>
      <c r="U101" s="120">
        <f>SUM($V$99:Y101)</f>
        <v>25</v>
      </c>
      <c r="V101" s="121"/>
      <c r="W101" s="117"/>
      <c r="X101" s="117">
        <v>9</v>
      </c>
      <c r="Y101" s="107"/>
      <c r="AA101" s="502"/>
      <c r="AB101" s="502"/>
      <c r="AC101" s="502"/>
      <c r="AD101" s="502"/>
      <c r="AE101" s="502"/>
      <c r="AF101" s="502"/>
      <c r="AN101" s="502"/>
      <c r="AO101" s="502"/>
      <c r="AP101" s="502"/>
      <c r="AQ101" s="502"/>
      <c r="AR101" s="502"/>
    </row>
    <row r="102" spans="1:52" ht="15.75">
      <c r="A102" s="122">
        <v>4</v>
      </c>
      <c r="B102" s="117"/>
      <c r="C102" s="108"/>
      <c r="D102" s="117"/>
      <c r="E102" s="114">
        <v>10</v>
      </c>
      <c r="F102" s="120">
        <f>SUM(B$99:$E102)</f>
        <v>34</v>
      </c>
      <c r="G102" s="944">
        <f t="shared" si="16"/>
        <v>9</v>
      </c>
      <c r="H102" s="120">
        <f>SUM(I$99:$L102)</f>
        <v>25</v>
      </c>
      <c r="I102" s="123"/>
      <c r="J102" s="108"/>
      <c r="K102" s="117"/>
      <c r="L102" s="117">
        <v>2</v>
      </c>
      <c r="N102" s="122">
        <v>4</v>
      </c>
      <c r="O102" s="117"/>
      <c r="P102" s="108"/>
      <c r="Q102" s="117"/>
      <c r="R102" s="114" t="s">
        <v>2</v>
      </c>
      <c r="S102" s="120">
        <f>SUM($O$99:R102)</f>
        <v>21</v>
      </c>
      <c r="T102" s="944">
        <f t="shared" si="17"/>
        <v>-4</v>
      </c>
      <c r="U102" s="120">
        <f>SUM($V$99:Y102)</f>
        <v>25</v>
      </c>
      <c r="V102" s="123"/>
      <c r="W102" s="108"/>
      <c r="X102" s="117"/>
      <c r="Y102" s="117" t="s">
        <v>2</v>
      </c>
      <c r="AA102" s="502"/>
      <c r="AB102" s="502"/>
      <c r="AC102" s="502"/>
      <c r="AD102" s="502"/>
      <c r="AE102" s="502"/>
      <c r="AF102" s="502"/>
      <c r="AN102" s="502"/>
      <c r="AO102" s="502"/>
      <c r="AP102" s="502"/>
      <c r="AQ102" s="502"/>
      <c r="AR102" s="502"/>
    </row>
    <row r="103" spans="1:52" ht="15.75">
      <c r="A103" s="122">
        <v>5</v>
      </c>
      <c r="B103" s="108">
        <v>9</v>
      </c>
      <c r="C103" s="117"/>
      <c r="D103" s="117"/>
      <c r="E103" s="119"/>
      <c r="F103" s="120">
        <f>SUM(B$99:$E103)</f>
        <v>43</v>
      </c>
      <c r="G103" s="944">
        <f t="shared" si="16"/>
        <v>12</v>
      </c>
      <c r="H103" s="120">
        <f>SUM(I$99:$L103)</f>
        <v>31</v>
      </c>
      <c r="I103" s="121">
        <v>6</v>
      </c>
      <c r="J103" s="117"/>
      <c r="K103" s="117"/>
      <c r="L103" s="107"/>
      <c r="N103" s="122">
        <v>5</v>
      </c>
      <c r="O103" s="108">
        <v>2</v>
      </c>
      <c r="P103" s="117"/>
      <c r="Q103" s="117"/>
      <c r="R103" s="119"/>
      <c r="S103" s="120">
        <f>SUM($O$99:R103)</f>
        <v>23</v>
      </c>
      <c r="T103" s="944">
        <f t="shared" si="17"/>
        <v>-14</v>
      </c>
      <c r="U103" s="120">
        <f>SUM($V$99:Y103)</f>
        <v>37</v>
      </c>
      <c r="V103" s="121">
        <v>12</v>
      </c>
      <c r="W103" s="117"/>
      <c r="X103" s="117"/>
      <c r="Y103" s="107"/>
      <c r="AA103" s="502"/>
      <c r="AB103" s="502"/>
      <c r="AC103" s="502"/>
      <c r="AD103" s="502"/>
      <c r="AE103" s="502"/>
      <c r="AF103" s="502"/>
      <c r="AN103" s="502"/>
      <c r="AO103" s="502"/>
      <c r="AP103" s="502"/>
      <c r="AQ103" s="502"/>
      <c r="AR103" s="502"/>
    </row>
    <row r="104" spans="1:52" ht="15.75">
      <c r="A104" s="118">
        <v>6</v>
      </c>
      <c r="B104" s="108"/>
      <c r="C104" s="565">
        <v>7</v>
      </c>
      <c r="D104" s="117"/>
      <c r="E104" s="119"/>
      <c r="F104" s="120">
        <f>SUM(B$99:$E104)</f>
        <v>50</v>
      </c>
      <c r="G104" s="944">
        <f t="shared" si="16"/>
        <v>19</v>
      </c>
      <c r="H104" s="120">
        <f>SUM(I$99:$L104)</f>
        <v>31</v>
      </c>
      <c r="I104" s="121"/>
      <c r="J104" s="117"/>
      <c r="K104" s="117"/>
      <c r="L104" s="107"/>
      <c r="N104" s="122">
        <v>6</v>
      </c>
      <c r="O104" s="117"/>
      <c r="P104" s="108" t="s">
        <v>2</v>
      </c>
      <c r="Q104" s="117"/>
      <c r="R104" s="114"/>
      <c r="S104" s="120">
        <f>SUM($O$99:R104)</f>
        <v>23</v>
      </c>
      <c r="T104" s="944">
        <f t="shared" si="17"/>
        <v>-22</v>
      </c>
      <c r="U104" s="120">
        <f>SUM($V$99:Y104)</f>
        <v>45</v>
      </c>
      <c r="V104" s="123"/>
      <c r="W104" s="117">
        <v>8</v>
      </c>
      <c r="X104" s="117"/>
      <c r="Y104" s="117"/>
      <c r="AA104" s="502"/>
      <c r="AB104" s="502"/>
      <c r="AC104" s="502"/>
      <c r="AD104" s="502"/>
      <c r="AE104" s="502"/>
      <c r="AF104" s="502"/>
      <c r="AN104" s="502"/>
      <c r="AO104" s="502"/>
      <c r="AP104" s="502"/>
      <c r="AQ104" s="502"/>
      <c r="AR104" s="502"/>
    </row>
    <row r="105" spans="1:52" ht="15.75">
      <c r="C105" s="583"/>
      <c r="I105" s="582"/>
      <c r="J105" s="583"/>
      <c r="K105" s="582"/>
      <c r="L105" s="583"/>
      <c r="N105" s="118">
        <v>7</v>
      </c>
      <c r="O105" s="108"/>
      <c r="P105" s="117"/>
      <c r="Q105" s="117">
        <v>9</v>
      </c>
      <c r="R105" s="119"/>
      <c r="S105" s="120">
        <f>SUM($O$99:R105)</f>
        <v>32</v>
      </c>
      <c r="T105" s="944">
        <f t="shared" si="17"/>
        <v>-18</v>
      </c>
      <c r="U105" s="120">
        <f>SUM($V$99:Y105)</f>
        <v>50</v>
      </c>
      <c r="V105" s="121"/>
      <c r="W105" s="117"/>
      <c r="X105" s="565">
        <v>5</v>
      </c>
      <c r="Y105" s="107"/>
      <c r="AA105" s="502"/>
      <c r="AB105" s="502"/>
      <c r="AC105" s="502"/>
      <c r="AD105" s="502"/>
      <c r="AE105" s="502"/>
      <c r="AF105" s="502"/>
      <c r="AN105" s="502"/>
      <c r="AO105" s="502"/>
      <c r="AP105" s="502"/>
      <c r="AQ105" s="502"/>
      <c r="AR105" s="502"/>
    </row>
    <row r="106" spans="1:52">
      <c r="C106" s="583"/>
      <c r="I106" s="582"/>
      <c r="J106" s="583"/>
      <c r="K106" s="582"/>
      <c r="L106" s="583"/>
      <c r="P106" s="583"/>
      <c r="S106" s="583"/>
      <c r="V106" s="582"/>
      <c r="W106" s="583"/>
      <c r="X106" s="582"/>
      <c r="Y106" s="583"/>
      <c r="AA106" s="502"/>
      <c r="AB106" s="502"/>
      <c r="AC106" s="502"/>
      <c r="AD106" s="502"/>
      <c r="AE106" s="502"/>
      <c r="AF106" s="502"/>
      <c r="AN106" s="502"/>
      <c r="AO106" s="502"/>
      <c r="AP106" s="502"/>
      <c r="AQ106" s="502"/>
      <c r="AR106" s="502"/>
    </row>
    <row r="107" spans="1:52" ht="15.75">
      <c r="A107" s="126" t="s">
        <v>3</v>
      </c>
      <c r="B107" s="584">
        <f>SUM(B99:B106)</f>
        <v>19</v>
      </c>
      <c r="C107" s="108">
        <f>SUM(C99:C106)</f>
        <v>16</v>
      </c>
      <c r="D107" s="108">
        <f>SUM(D99:D106)</f>
        <v>5</v>
      </c>
      <c r="E107" s="584">
        <f>SUM(E99:E106)</f>
        <v>10</v>
      </c>
      <c r="F107" s="127">
        <f>SUM(B107:E107)</f>
        <v>50</v>
      </c>
      <c r="H107" s="127">
        <f>MAX(H99:H105)</f>
        <v>31</v>
      </c>
      <c r="I107" s="108">
        <f>SUM(I99:I106)</f>
        <v>15</v>
      </c>
      <c r="J107" s="108">
        <f>SUM(J99:J106)</f>
        <v>7</v>
      </c>
      <c r="K107" s="108">
        <f>SUM(K99:K106)</f>
        <v>7</v>
      </c>
      <c r="L107" s="108">
        <f>SUM(L99:L106)</f>
        <v>2</v>
      </c>
      <c r="N107" s="126" t="s">
        <v>3</v>
      </c>
      <c r="O107" s="108">
        <f>SUM(O99:O106)</f>
        <v>12</v>
      </c>
      <c r="P107" s="108">
        <f>SUM(P99:P106)</f>
        <v>2</v>
      </c>
      <c r="Q107" s="108">
        <f>SUM(Q99:Q106)</f>
        <v>18</v>
      </c>
      <c r="R107" s="108">
        <f>SUM(R99:R106)</f>
        <v>0</v>
      </c>
      <c r="S107" s="127">
        <f>MAX(S99:S105)</f>
        <v>32</v>
      </c>
      <c r="U107" s="127">
        <f>MAX(U99:U105)</f>
        <v>50</v>
      </c>
      <c r="V107" s="584">
        <f>SUM(V99:V106)</f>
        <v>20</v>
      </c>
      <c r="W107" s="108">
        <f>SUM(W99:W106)</f>
        <v>16</v>
      </c>
      <c r="X107" s="584">
        <f>SUM(X99:X106)</f>
        <v>14</v>
      </c>
      <c r="Y107" s="584">
        <f>SUM(Y99:Y106)</f>
        <v>0</v>
      </c>
      <c r="AA107" s="502"/>
      <c r="AB107" s="502"/>
      <c r="AC107" s="502"/>
      <c r="AD107" s="502"/>
      <c r="AE107" s="502"/>
      <c r="AF107" s="502"/>
      <c r="AN107" s="502"/>
      <c r="AO107" s="502"/>
      <c r="AP107" s="502"/>
      <c r="AQ107" s="502"/>
      <c r="AR107" s="502"/>
    </row>
    <row r="108" spans="1:52" ht="15.75">
      <c r="A108" s="128" t="s">
        <v>4</v>
      </c>
      <c r="B108" s="117">
        <f>COUNTA(B99:B106)</f>
        <v>2</v>
      </c>
      <c r="C108" s="117">
        <f>COUNTA(C99:C106)</f>
        <v>2</v>
      </c>
      <c r="D108" s="117">
        <f>COUNTA(D99:D106)</f>
        <v>1</v>
      </c>
      <c r="E108" s="117">
        <f>COUNTA(E99:E106)</f>
        <v>1</v>
      </c>
      <c r="F108" s="127">
        <f>SUM(B108:E108)</f>
        <v>6</v>
      </c>
      <c r="H108" s="127">
        <f>SUM(I108:L108)</f>
        <v>5</v>
      </c>
      <c r="I108" s="117">
        <f>COUNTA(I99:I106)</f>
        <v>2</v>
      </c>
      <c r="J108" s="117">
        <f>COUNTA(J99:J106)</f>
        <v>1</v>
      </c>
      <c r="K108" s="117">
        <f>COUNTA(K99:K106)</f>
        <v>1</v>
      </c>
      <c r="L108" s="117">
        <f>COUNTA(L99:L106)</f>
        <v>1</v>
      </c>
      <c r="N108" s="128" t="s">
        <v>4</v>
      </c>
      <c r="O108" s="117">
        <f>COUNTA(O99:O106)</f>
        <v>2</v>
      </c>
      <c r="P108" s="117">
        <f>COUNTA(P99:P106)</f>
        <v>2</v>
      </c>
      <c r="Q108" s="117">
        <f>COUNTA(Q99:Q106)</f>
        <v>2</v>
      </c>
      <c r="R108" s="117">
        <f>COUNTA(R99:R106)</f>
        <v>1</v>
      </c>
      <c r="S108" s="127">
        <f>SUM(O108:R108)</f>
        <v>7</v>
      </c>
      <c r="U108" s="127">
        <f>SUM(V108:Y108)</f>
        <v>7</v>
      </c>
      <c r="V108" s="117">
        <f>COUNTA(V99:V106)</f>
        <v>2</v>
      </c>
      <c r="W108" s="117">
        <f>COUNTA(W99:W106)</f>
        <v>2</v>
      </c>
      <c r="X108" s="117">
        <f>COUNTA(X99:X106)</f>
        <v>2</v>
      </c>
      <c r="Y108" s="117">
        <f>COUNTA(Y99:Y106)</f>
        <v>1</v>
      </c>
      <c r="AA108" s="502"/>
      <c r="AB108" s="502"/>
      <c r="AC108" s="502"/>
      <c r="AD108" s="502"/>
      <c r="AE108" s="502"/>
      <c r="AF108" s="502"/>
      <c r="AN108" s="502"/>
      <c r="AO108" s="502"/>
      <c r="AP108" s="502"/>
      <c r="AQ108" s="502"/>
      <c r="AR108" s="502"/>
    </row>
    <row r="109" spans="1:52" ht="15.75">
      <c r="A109" s="126" t="s">
        <v>6</v>
      </c>
      <c r="B109" s="584">
        <f>B108-COUNT(B99:B106)</f>
        <v>0</v>
      </c>
      <c r="C109" s="584">
        <f>C108-COUNT(C99:C106)</f>
        <v>0</v>
      </c>
      <c r="D109" s="108">
        <f>D108-COUNT(D99:D106)</f>
        <v>0</v>
      </c>
      <c r="E109" s="108">
        <f>E108-COUNT(E99:E106)</f>
        <v>0</v>
      </c>
      <c r="F109" s="127">
        <f>SUM(B109:E109)</f>
        <v>0</v>
      </c>
      <c r="H109" s="127">
        <f>SUM(I109:L109)</f>
        <v>0</v>
      </c>
      <c r="I109" s="108">
        <f>I108-COUNT(I99:I106)</f>
        <v>0</v>
      </c>
      <c r="J109" s="108">
        <f>J108-COUNT(J99:J106)</f>
        <v>0</v>
      </c>
      <c r="K109" s="108">
        <f>K108-COUNT(K99:K106)</f>
        <v>0</v>
      </c>
      <c r="L109" s="108">
        <f>L108-COUNT(L99:L106)</f>
        <v>0</v>
      </c>
      <c r="N109" s="126" t="s">
        <v>6</v>
      </c>
      <c r="O109" s="108">
        <f>O108-COUNT(O99:O106)</f>
        <v>0</v>
      </c>
      <c r="P109" s="108">
        <f>P108-COUNT(P99:P106)</f>
        <v>1</v>
      </c>
      <c r="Q109" s="108">
        <f>Q108-COUNT(Q99:Q106)</f>
        <v>0</v>
      </c>
      <c r="R109" s="108">
        <f>R108-COUNT(R99:R106)</f>
        <v>1</v>
      </c>
      <c r="S109" s="127">
        <f>SUM(O109:R109)</f>
        <v>2</v>
      </c>
      <c r="U109" s="127">
        <f>SUM(V109:Y109)</f>
        <v>1</v>
      </c>
      <c r="V109" s="108">
        <f>V108-COUNT(V99:V106)</f>
        <v>0</v>
      </c>
      <c r="W109" s="108">
        <f>W108-COUNT(W99:W106)</f>
        <v>0</v>
      </c>
      <c r="X109" s="108">
        <f>X108-COUNT(X99:X106)</f>
        <v>0</v>
      </c>
      <c r="Y109" s="108">
        <f>Y108-COUNT(Y99:Y106)</f>
        <v>1</v>
      </c>
      <c r="AA109" s="502"/>
      <c r="AB109" s="502"/>
      <c r="AC109" s="502"/>
      <c r="AD109" s="502"/>
      <c r="AE109" s="502"/>
      <c r="AF109" s="502"/>
      <c r="AN109" s="502"/>
      <c r="AO109" s="502"/>
      <c r="AP109" s="502"/>
      <c r="AQ109" s="502"/>
      <c r="AR109" s="502"/>
    </row>
    <row r="110" spans="1:52" ht="15.75">
      <c r="A110" s="126" t="s">
        <v>12</v>
      </c>
      <c r="B110" s="131">
        <f>B109/B108</f>
        <v>0</v>
      </c>
      <c r="C110" s="131">
        <f>C109/C108</f>
        <v>0</v>
      </c>
      <c r="D110" s="129">
        <f>D109/D108</f>
        <v>0</v>
      </c>
      <c r="E110" s="129">
        <f>E109/E108</f>
        <v>0</v>
      </c>
      <c r="F110" s="130">
        <f>F109/F108</f>
        <v>0</v>
      </c>
      <c r="H110" s="130">
        <f>H109/H108</f>
        <v>0</v>
      </c>
      <c r="I110" s="933">
        <f>I109/I108</f>
        <v>0</v>
      </c>
      <c r="J110" s="129">
        <f>J109/J108</f>
        <v>0</v>
      </c>
      <c r="K110" s="129">
        <f>K109/K108</f>
        <v>0</v>
      </c>
      <c r="L110" s="129">
        <f>L109/L108</f>
        <v>0</v>
      </c>
      <c r="N110" s="126" t="s">
        <v>12</v>
      </c>
      <c r="O110" s="933">
        <f>O109/O108</f>
        <v>0</v>
      </c>
      <c r="P110" s="129">
        <f>P109/P108</f>
        <v>0.5</v>
      </c>
      <c r="Q110" s="129">
        <f>Q109/Q108</f>
        <v>0</v>
      </c>
      <c r="R110" s="129">
        <f>R109/R108</f>
        <v>1</v>
      </c>
      <c r="S110" s="130">
        <f>S109/S108</f>
        <v>0.2857142857142857</v>
      </c>
      <c r="U110" s="130">
        <f>U109/U108</f>
        <v>0.14285714285714285</v>
      </c>
      <c r="V110" s="129">
        <f>V109/V108</f>
        <v>0</v>
      </c>
      <c r="W110" s="129">
        <f>W109/W108</f>
        <v>0</v>
      </c>
      <c r="X110" s="129">
        <f>X109/X108</f>
        <v>0</v>
      </c>
      <c r="Y110" s="129">
        <f>Y109/Y108</f>
        <v>1</v>
      </c>
      <c r="AA110" s="502"/>
      <c r="AB110" s="502"/>
      <c r="AC110" s="502"/>
      <c r="AD110" s="502"/>
      <c r="AE110" s="502"/>
      <c r="AF110" s="502"/>
      <c r="AN110" s="502"/>
      <c r="AO110" s="502"/>
      <c r="AP110" s="502"/>
      <c r="AQ110" s="502"/>
      <c r="AR110" s="502"/>
    </row>
    <row r="111" spans="1:52" ht="15.75">
      <c r="A111" s="126" t="s">
        <v>5</v>
      </c>
      <c r="B111" s="134">
        <f>B107/B108</f>
        <v>9.5</v>
      </c>
      <c r="C111" s="132">
        <f>C107/C108</f>
        <v>8</v>
      </c>
      <c r="D111" s="132">
        <f>D107/D108</f>
        <v>5</v>
      </c>
      <c r="E111" s="132">
        <f>E107/E108</f>
        <v>10</v>
      </c>
      <c r="F111" s="133">
        <f>F107/F108</f>
        <v>8.3333333333333339</v>
      </c>
      <c r="H111" s="133">
        <f>H107/H108</f>
        <v>6.2</v>
      </c>
      <c r="I111" s="132">
        <f>I107/I108</f>
        <v>7.5</v>
      </c>
      <c r="J111" s="132">
        <f>J107/J108</f>
        <v>7</v>
      </c>
      <c r="K111" s="132">
        <f>K107/K108</f>
        <v>7</v>
      </c>
      <c r="L111" s="132">
        <f>L107/L108</f>
        <v>2</v>
      </c>
      <c r="N111" s="126" t="s">
        <v>5</v>
      </c>
      <c r="O111" s="132">
        <f>O107/O108</f>
        <v>6</v>
      </c>
      <c r="P111" s="132">
        <f>P107/P108</f>
        <v>1</v>
      </c>
      <c r="Q111" s="132">
        <f>Q107/Q108</f>
        <v>9</v>
      </c>
      <c r="R111" s="132">
        <f>R107/R108</f>
        <v>0</v>
      </c>
      <c r="S111" s="133">
        <f>S107/S108</f>
        <v>4.5714285714285712</v>
      </c>
      <c r="U111" s="133">
        <f>U107/U108</f>
        <v>7.1428571428571432</v>
      </c>
      <c r="V111" s="134">
        <f>V107/V108</f>
        <v>10</v>
      </c>
      <c r="W111" s="132">
        <f>W107/W108</f>
        <v>8</v>
      </c>
      <c r="X111" s="132">
        <f>X107/X108</f>
        <v>7</v>
      </c>
      <c r="Y111" s="132">
        <f>Y107/Y108</f>
        <v>0</v>
      </c>
      <c r="AA111" s="502"/>
      <c r="AB111" s="502"/>
      <c r="AC111" s="502"/>
      <c r="AD111" s="502"/>
      <c r="AE111" s="502"/>
      <c r="AF111" s="502"/>
      <c r="AN111" s="502"/>
      <c r="AO111" s="502"/>
      <c r="AP111" s="502"/>
      <c r="AQ111" s="502"/>
      <c r="AR111" s="502"/>
    </row>
    <row r="112" spans="1:52" ht="15.75">
      <c r="A112" s="126" t="s">
        <v>8</v>
      </c>
      <c r="B112" s="135">
        <f>B107/(B108-B109)</f>
        <v>9.5</v>
      </c>
      <c r="C112" s="132">
        <f>C107/(C108-C109)</f>
        <v>8</v>
      </c>
      <c r="D112" s="134">
        <f>D107/(D108-D109)</f>
        <v>5</v>
      </c>
      <c r="E112" s="135">
        <f>E107/(E108-E109)</f>
        <v>10</v>
      </c>
      <c r="F112" s="136">
        <f>F107/(F108-F109)</f>
        <v>8.3333333333333339</v>
      </c>
      <c r="H112" s="136">
        <f>H107/(H108-H109)</f>
        <v>6.2</v>
      </c>
      <c r="I112" s="135">
        <f>I107/(I108-I109)</f>
        <v>7.5</v>
      </c>
      <c r="J112" s="135">
        <f>J107/(J108-J109)</f>
        <v>7</v>
      </c>
      <c r="K112" s="135">
        <f>K107/(K108-K109)</f>
        <v>7</v>
      </c>
      <c r="L112" s="135">
        <f>L107/(L108-L109)</f>
        <v>2</v>
      </c>
      <c r="N112" s="126" t="s">
        <v>8</v>
      </c>
      <c r="O112" s="135">
        <f>O107/(O108-O109)</f>
        <v>6</v>
      </c>
      <c r="P112" s="135">
        <f>P107/(P108-P109)</f>
        <v>2</v>
      </c>
      <c r="Q112" s="135">
        <f>Q107/(Q108-Q109)</f>
        <v>9</v>
      </c>
      <c r="R112" s="663">
        <v>0</v>
      </c>
      <c r="S112" s="136">
        <f>S107/(S108-S109)</f>
        <v>6.4</v>
      </c>
      <c r="U112" s="136">
        <f>U107/(U108-U109)</f>
        <v>8.3333333333333339</v>
      </c>
      <c r="V112" s="134">
        <f>V107/(V108-V109)</f>
        <v>10</v>
      </c>
      <c r="W112" s="135">
        <f>W107/(W108-W109)</f>
        <v>8</v>
      </c>
      <c r="X112" s="132">
        <f>X107/(X108-X109)</f>
        <v>7</v>
      </c>
      <c r="Y112" s="955">
        <v>0</v>
      </c>
      <c r="AA112" s="502"/>
      <c r="AB112" s="502"/>
      <c r="AC112" s="502"/>
      <c r="AD112" s="502"/>
      <c r="AE112" s="502"/>
      <c r="AF112" s="502"/>
      <c r="AN112" s="502"/>
      <c r="AO112" s="502"/>
      <c r="AP112" s="502"/>
      <c r="AQ112" s="502"/>
      <c r="AR112" s="502"/>
    </row>
    <row r="113" spans="1:52" s="111" customFormat="1">
      <c r="A113" s="109"/>
      <c r="B113" s="110"/>
      <c r="C113" s="110"/>
      <c r="D113" s="110"/>
      <c r="E113" s="580"/>
      <c r="F113" s="580"/>
      <c r="N113" s="109"/>
      <c r="O113" s="110"/>
      <c r="P113" s="110"/>
      <c r="Q113" s="110"/>
      <c r="R113" s="580"/>
      <c r="AA113" s="109"/>
      <c r="AB113" s="110"/>
      <c r="AC113" s="110"/>
      <c r="AD113" s="110"/>
      <c r="AE113" s="580"/>
      <c r="AF113" s="580"/>
      <c r="AN113" s="109"/>
      <c r="AO113" s="110"/>
      <c r="AP113" s="110"/>
      <c r="AQ113" s="110"/>
      <c r="AR113" s="580"/>
    </row>
    <row r="114" spans="1:52" ht="15.75">
      <c r="B114" s="1540" t="s">
        <v>145</v>
      </c>
      <c r="C114" s="1540"/>
      <c r="D114" s="1540"/>
      <c r="E114" s="1540"/>
      <c r="F114" s="113"/>
      <c r="H114" s="113"/>
      <c r="I114" s="1543" t="s">
        <v>105</v>
      </c>
      <c r="J114" s="1543"/>
      <c r="K114" s="1543"/>
      <c r="L114" s="1543"/>
      <c r="O114" s="1543" t="s">
        <v>105</v>
      </c>
      <c r="P114" s="1543"/>
      <c r="Q114" s="1543"/>
      <c r="R114" s="1543"/>
      <c r="S114" s="113"/>
      <c r="U114" s="113"/>
      <c r="V114" s="1540" t="s">
        <v>145</v>
      </c>
      <c r="W114" s="1540"/>
      <c r="X114" s="1540"/>
      <c r="Y114" s="1540"/>
      <c r="AA114" s="502"/>
      <c r="AB114" s="502"/>
      <c r="AC114" s="502"/>
      <c r="AD114" s="502"/>
      <c r="AE114" s="502"/>
      <c r="AF114" s="502"/>
      <c r="AN114" s="502"/>
      <c r="AO114" s="502"/>
      <c r="AP114" s="502"/>
      <c r="AQ114" s="502"/>
      <c r="AR114" s="502"/>
    </row>
    <row r="115" spans="1:52" ht="15.75">
      <c r="B115" s="469">
        <v>1</v>
      </c>
      <c r="C115" s="470">
        <v>2</v>
      </c>
      <c r="D115" s="471">
        <v>3</v>
      </c>
      <c r="E115" s="872">
        <v>4</v>
      </c>
      <c r="F115" s="113">
        <f>IF(COUNTIF(F117:F128,"&gt;37")=0,0,COUNTIF(F117:F128,"&gt;37")-1)</f>
        <v>1</v>
      </c>
      <c r="H115" s="113">
        <f>IF(COUNTIF(H117:H128,"&gt;37")=0,0,COUNTIF(H117:H128,"&gt;37")-1)</f>
        <v>0</v>
      </c>
      <c r="I115" s="934">
        <v>1</v>
      </c>
      <c r="J115" s="935">
        <v>2</v>
      </c>
      <c r="K115" s="936">
        <v>3</v>
      </c>
      <c r="L115" s="937">
        <v>4</v>
      </c>
      <c r="O115" s="934">
        <v>1</v>
      </c>
      <c r="P115" s="935">
        <v>2</v>
      </c>
      <c r="Q115" s="936">
        <v>3</v>
      </c>
      <c r="R115" s="937">
        <v>4</v>
      </c>
      <c r="S115" s="113">
        <f>IF(COUNTIF(S117:S128,"&gt;37")=0,0,COUNTIF(S117:S128,"&gt;37")-1)</f>
        <v>1</v>
      </c>
      <c r="U115" s="113">
        <f>IF(COUNTIF(U117:U128,"&gt;37")=0,0,COUNTIF(U117:U128,"&gt;37")-1)</f>
        <v>2</v>
      </c>
      <c r="V115" s="469">
        <v>1</v>
      </c>
      <c r="W115" s="470">
        <v>2</v>
      </c>
      <c r="X115" s="471">
        <v>3</v>
      </c>
      <c r="Y115" s="872">
        <v>4</v>
      </c>
      <c r="AA115" s="502"/>
      <c r="AB115" s="502"/>
      <c r="AC115" s="502"/>
      <c r="AD115" s="502"/>
      <c r="AE115" s="502"/>
      <c r="AF115" s="502"/>
      <c r="AN115" s="502"/>
      <c r="AO115" s="502"/>
      <c r="AP115" s="502"/>
      <c r="AQ115" s="502"/>
      <c r="AR115" s="502"/>
    </row>
    <row r="116" spans="1:52" s="596" customFormat="1" ht="42.75">
      <c r="A116" s="591"/>
      <c r="B116" s="473" t="s">
        <v>101</v>
      </c>
      <c r="C116" s="474" t="s">
        <v>169</v>
      </c>
      <c r="D116" s="475" t="s">
        <v>164</v>
      </c>
      <c r="E116" s="476" t="s">
        <v>172</v>
      </c>
      <c r="F116" s="593"/>
      <c r="G116" s="593"/>
      <c r="H116" s="593"/>
      <c r="I116" s="938" t="s">
        <v>106</v>
      </c>
      <c r="J116" s="939" t="s">
        <v>107</v>
      </c>
      <c r="K116" s="939" t="s">
        <v>55</v>
      </c>
      <c r="L116" s="943" t="s">
        <v>108</v>
      </c>
      <c r="M116" s="641"/>
      <c r="N116" s="591"/>
      <c r="O116" s="938" t="s">
        <v>106</v>
      </c>
      <c r="P116" s="939" t="s">
        <v>107</v>
      </c>
      <c r="Q116" s="939" t="s">
        <v>55</v>
      </c>
      <c r="R116" s="943" t="s">
        <v>108</v>
      </c>
      <c r="S116" s="593"/>
      <c r="T116" s="593"/>
      <c r="U116" s="593"/>
      <c r="V116" s="473" t="s">
        <v>101</v>
      </c>
      <c r="W116" s="474" t="s">
        <v>169</v>
      </c>
      <c r="X116" s="475" t="s">
        <v>164</v>
      </c>
      <c r="Y116" s="476" t="s">
        <v>172</v>
      </c>
      <c r="Z116" s="641"/>
      <c r="AM116" s="111"/>
      <c r="AZ116" s="111"/>
    </row>
    <row r="117" spans="1:52" ht="15.75">
      <c r="A117" s="118">
        <v>1</v>
      </c>
      <c r="B117" s="108">
        <v>9</v>
      </c>
      <c r="C117" s="117"/>
      <c r="D117" s="117"/>
      <c r="E117" s="119"/>
      <c r="F117" s="120">
        <f>SUM(B$117:$E117)</f>
        <v>9</v>
      </c>
      <c r="G117" s="944">
        <f>F117-H117</f>
        <v>4</v>
      </c>
      <c r="H117" s="120">
        <f>SUM(I$117:$L117)</f>
        <v>5</v>
      </c>
      <c r="I117" s="121">
        <v>5</v>
      </c>
      <c r="J117" s="117"/>
      <c r="K117" s="117"/>
      <c r="L117" s="107"/>
      <c r="N117" s="118">
        <v>1</v>
      </c>
      <c r="O117" s="108" t="s">
        <v>2</v>
      </c>
      <c r="P117" s="117"/>
      <c r="Q117" s="117"/>
      <c r="R117" s="119"/>
      <c r="S117" s="120">
        <f>SUM($O$117:R117)</f>
        <v>0</v>
      </c>
      <c r="T117" s="944">
        <f>S117-U117</f>
        <v>-7</v>
      </c>
      <c r="U117" s="120">
        <f>SUM($V$117:Y117)</f>
        <v>7</v>
      </c>
      <c r="V117" s="121">
        <v>7</v>
      </c>
      <c r="W117" s="117"/>
      <c r="X117" s="117"/>
      <c r="Y117" s="107"/>
      <c r="AA117" s="502"/>
      <c r="AB117" s="502"/>
      <c r="AC117" s="502"/>
      <c r="AD117" s="502"/>
      <c r="AE117" s="502"/>
      <c r="AF117" s="502"/>
      <c r="AN117" s="502"/>
      <c r="AO117" s="502"/>
      <c r="AP117" s="502"/>
      <c r="AQ117" s="502"/>
      <c r="AR117" s="502"/>
    </row>
    <row r="118" spans="1:52" ht="15.75">
      <c r="A118" s="122">
        <v>2</v>
      </c>
      <c r="B118" s="117"/>
      <c r="C118" s="108">
        <v>8</v>
      </c>
      <c r="D118" s="117"/>
      <c r="E118" s="114"/>
      <c r="F118" s="120">
        <f>SUM(B$117:$E118)</f>
        <v>17</v>
      </c>
      <c r="G118" s="944">
        <f t="shared" ref="G118:G123" si="18">F118-H118</f>
        <v>5</v>
      </c>
      <c r="H118" s="120">
        <f>SUM(I$117:$L118)</f>
        <v>12</v>
      </c>
      <c r="I118" s="123"/>
      <c r="J118" s="108">
        <v>7</v>
      </c>
      <c r="K118" s="117"/>
      <c r="L118" s="117"/>
      <c r="N118" s="122">
        <v>2</v>
      </c>
      <c r="O118" s="117"/>
      <c r="P118" s="108">
        <v>7</v>
      </c>
      <c r="Q118" s="117"/>
      <c r="R118" s="114"/>
      <c r="S118" s="120">
        <f>SUM($O$117:R118)</f>
        <v>7</v>
      </c>
      <c r="T118" s="944">
        <f t="shared" ref="T118:T127" si="19">S118-U118</f>
        <v>-8</v>
      </c>
      <c r="U118" s="120">
        <f>SUM($V$117:Y118)</f>
        <v>15</v>
      </c>
      <c r="V118" s="123"/>
      <c r="W118" s="108">
        <v>8</v>
      </c>
      <c r="X118" s="117"/>
      <c r="Y118" s="117"/>
      <c r="AA118" s="502"/>
      <c r="AB118" s="502"/>
      <c r="AC118" s="502"/>
      <c r="AD118" s="502"/>
      <c r="AE118" s="502"/>
      <c r="AF118" s="502"/>
      <c r="AN118" s="502"/>
      <c r="AO118" s="502"/>
      <c r="AP118" s="502"/>
      <c r="AQ118" s="502"/>
      <c r="AR118" s="502"/>
    </row>
    <row r="119" spans="1:52" ht="15.75">
      <c r="A119" s="122">
        <v>3</v>
      </c>
      <c r="B119" s="108"/>
      <c r="C119" s="117"/>
      <c r="D119" s="117">
        <v>5</v>
      </c>
      <c r="E119" s="119"/>
      <c r="F119" s="120">
        <f>SUM(B$117:$E119)</f>
        <v>22</v>
      </c>
      <c r="G119" s="944">
        <f t="shared" si="18"/>
        <v>6</v>
      </c>
      <c r="H119" s="120">
        <f>SUM(I$117:$L119)</f>
        <v>16</v>
      </c>
      <c r="I119" s="121"/>
      <c r="J119" s="117"/>
      <c r="K119" s="117">
        <v>4</v>
      </c>
      <c r="L119" s="107"/>
      <c r="N119" s="122">
        <v>3</v>
      </c>
      <c r="O119" s="108"/>
      <c r="P119" s="117"/>
      <c r="Q119" s="117" t="s">
        <v>2</v>
      </c>
      <c r="R119" s="119"/>
      <c r="S119" s="120">
        <f>SUM($O$117:R119)</f>
        <v>7</v>
      </c>
      <c r="T119" s="944">
        <f t="shared" si="19"/>
        <v>-8</v>
      </c>
      <c r="U119" s="120">
        <f>SUM($V$117:Y119)</f>
        <v>15</v>
      </c>
      <c r="V119" s="121"/>
      <c r="W119" s="117"/>
      <c r="X119" s="117" t="s">
        <v>2</v>
      </c>
      <c r="Y119" s="107"/>
      <c r="AA119" s="502"/>
      <c r="AB119" s="502"/>
      <c r="AC119" s="502"/>
      <c r="AD119" s="502"/>
      <c r="AE119" s="502"/>
      <c r="AF119" s="502"/>
      <c r="AN119" s="502"/>
      <c r="AO119" s="502"/>
      <c r="AP119" s="502"/>
      <c r="AQ119" s="502"/>
      <c r="AR119" s="502"/>
    </row>
    <row r="120" spans="1:52" ht="15.75">
      <c r="A120" s="122">
        <v>4</v>
      </c>
      <c r="B120" s="117"/>
      <c r="C120" s="108"/>
      <c r="D120" s="117"/>
      <c r="E120" s="114">
        <v>11</v>
      </c>
      <c r="F120" s="120">
        <f>SUM(B$117:$E120)</f>
        <v>33</v>
      </c>
      <c r="G120" s="944">
        <f t="shared" si="18"/>
        <v>13</v>
      </c>
      <c r="H120" s="120">
        <f>SUM(I$117:$L120)</f>
        <v>20</v>
      </c>
      <c r="I120" s="123"/>
      <c r="J120" s="108"/>
      <c r="K120" s="117"/>
      <c r="L120" s="117">
        <v>4</v>
      </c>
      <c r="N120" s="122">
        <v>4</v>
      </c>
      <c r="O120" s="117"/>
      <c r="P120" s="108"/>
      <c r="Q120" s="117"/>
      <c r="R120" s="114">
        <v>2</v>
      </c>
      <c r="S120" s="120">
        <f>SUM($O$117:R120)</f>
        <v>9</v>
      </c>
      <c r="T120" s="944">
        <f t="shared" si="19"/>
        <v>-13</v>
      </c>
      <c r="U120" s="120">
        <f>SUM($V$117:Y120)</f>
        <v>22</v>
      </c>
      <c r="V120" s="123"/>
      <c r="W120" s="108"/>
      <c r="X120" s="117"/>
      <c r="Y120" s="117">
        <v>7</v>
      </c>
      <c r="AA120" s="502"/>
      <c r="AB120" s="502"/>
      <c r="AC120" s="502"/>
      <c r="AD120" s="502"/>
      <c r="AE120" s="502"/>
      <c r="AF120" s="502"/>
      <c r="AN120" s="502"/>
      <c r="AO120" s="502"/>
      <c r="AP120" s="502"/>
      <c r="AQ120" s="502"/>
      <c r="AR120" s="502"/>
    </row>
    <row r="121" spans="1:52" ht="15.75">
      <c r="A121" s="122">
        <v>5</v>
      </c>
      <c r="B121" s="108" t="s">
        <v>2</v>
      </c>
      <c r="C121" s="117"/>
      <c r="D121" s="117"/>
      <c r="E121" s="119"/>
      <c r="F121" s="120">
        <f>SUM(B$117:$E121)</f>
        <v>33</v>
      </c>
      <c r="G121" s="944">
        <f t="shared" si="18"/>
        <v>1</v>
      </c>
      <c r="H121" s="120">
        <f>SUM(I$117:$L121)</f>
        <v>32</v>
      </c>
      <c r="I121" s="121">
        <v>12</v>
      </c>
      <c r="J121" s="117"/>
      <c r="K121" s="117"/>
      <c r="L121" s="107"/>
      <c r="N121" s="122">
        <v>5</v>
      </c>
      <c r="O121" s="108">
        <v>2</v>
      </c>
      <c r="P121" s="117"/>
      <c r="Q121" s="117"/>
      <c r="R121" s="119"/>
      <c r="S121" s="120">
        <f>SUM($O$117:R121)</f>
        <v>11</v>
      </c>
      <c r="T121" s="944">
        <f t="shared" si="19"/>
        <v>-16</v>
      </c>
      <c r="U121" s="120">
        <f>SUM($V$117:Y121)</f>
        <v>27</v>
      </c>
      <c r="V121" s="121">
        <v>5</v>
      </c>
      <c r="W121" s="117"/>
      <c r="X121" s="117"/>
      <c r="Y121" s="107"/>
      <c r="AA121" s="502"/>
      <c r="AB121" s="502"/>
      <c r="AC121" s="502"/>
      <c r="AD121" s="502"/>
      <c r="AE121" s="502"/>
      <c r="AF121" s="502"/>
      <c r="AN121" s="502"/>
      <c r="AO121" s="502"/>
      <c r="AP121" s="502"/>
      <c r="AQ121" s="502"/>
      <c r="AR121" s="502"/>
    </row>
    <row r="122" spans="1:52" ht="15.75">
      <c r="A122" s="118">
        <v>6</v>
      </c>
      <c r="B122" s="108"/>
      <c r="C122" s="117">
        <v>12</v>
      </c>
      <c r="D122" s="117"/>
      <c r="E122" s="119"/>
      <c r="F122" s="120">
        <f>SUM(B$117:$E122)</f>
        <v>45</v>
      </c>
      <c r="G122" s="944">
        <f t="shared" si="18"/>
        <v>8</v>
      </c>
      <c r="H122" s="120">
        <f>SUM(I$117:$L122)</f>
        <v>37</v>
      </c>
      <c r="I122" s="121"/>
      <c r="J122" s="117">
        <v>5</v>
      </c>
      <c r="K122" s="117"/>
      <c r="L122" s="107"/>
      <c r="N122" s="122">
        <v>6</v>
      </c>
      <c r="O122" s="117"/>
      <c r="P122" s="108">
        <v>3</v>
      </c>
      <c r="Q122" s="117"/>
      <c r="R122" s="114"/>
      <c r="S122" s="120">
        <f>SUM($O$117:R122)</f>
        <v>14</v>
      </c>
      <c r="T122" s="944">
        <f t="shared" si="19"/>
        <v>-16</v>
      </c>
      <c r="U122" s="120">
        <f>SUM($V$117:Y122)</f>
        <v>30</v>
      </c>
      <c r="V122" s="123"/>
      <c r="W122" s="117">
        <v>3</v>
      </c>
      <c r="X122" s="117"/>
      <c r="Y122" s="117"/>
      <c r="AA122" s="502"/>
      <c r="AB122" s="502"/>
      <c r="AC122" s="502"/>
      <c r="AD122" s="502"/>
      <c r="AE122" s="502"/>
      <c r="AF122" s="502"/>
      <c r="AN122" s="502"/>
      <c r="AO122" s="502"/>
      <c r="AP122" s="502"/>
      <c r="AQ122" s="502"/>
      <c r="AR122" s="502"/>
    </row>
    <row r="123" spans="1:52" ht="15.75">
      <c r="A123" s="122">
        <v>7</v>
      </c>
      <c r="B123" s="117"/>
      <c r="C123" s="108"/>
      <c r="D123" s="565">
        <v>5</v>
      </c>
      <c r="E123" s="114"/>
      <c r="F123" s="120">
        <f>SUM(B$117:$E123)</f>
        <v>50</v>
      </c>
      <c r="G123" s="944">
        <f t="shared" si="18"/>
        <v>13</v>
      </c>
      <c r="H123" s="120">
        <f>SUM(I$117:$L123)</f>
        <v>37</v>
      </c>
      <c r="I123" s="123"/>
      <c r="J123" s="108"/>
      <c r="K123" s="117"/>
      <c r="L123" s="117"/>
      <c r="N123" s="118">
        <v>7</v>
      </c>
      <c r="O123" s="108"/>
      <c r="P123" s="117"/>
      <c r="Q123" s="117">
        <v>9</v>
      </c>
      <c r="R123" s="119"/>
      <c r="S123" s="120">
        <f>SUM($O$117:R123)</f>
        <v>23</v>
      </c>
      <c r="T123" s="944">
        <f t="shared" si="19"/>
        <v>-9</v>
      </c>
      <c r="U123" s="120">
        <f>SUM($V$117:Y123)</f>
        <v>32</v>
      </c>
      <c r="V123" s="121"/>
      <c r="W123" s="117"/>
      <c r="X123" s="117">
        <v>2</v>
      </c>
      <c r="Y123" s="107"/>
      <c r="AA123" s="502"/>
      <c r="AB123" s="502"/>
      <c r="AC123" s="502"/>
      <c r="AD123" s="502"/>
      <c r="AE123" s="502"/>
      <c r="AF123" s="502"/>
      <c r="AN123" s="502"/>
      <c r="AO123" s="502"/>
      <c r="AP123" s="502"/>
      <c r="AQ123" s="502"/>
      <c r="AR123" s="502"/>
    </row>
    <row r="124" spans="1:52" ht="15.75">
      <c r="C124" s="583"/>
      <c r="I124" s="582"/>
      <c r="J124" s="583"/>
      <c r="K124" s="582"/>
      <c r="L124" s="583"/>
      <c r="N124" s="118">
        <v>8</v>
      </c>
      <c r="O124" s="108"/>
      <c r="P124" s="117"/>
      <c r="Q124" s="117"/>
      <c r="R124" s="119">
        <v>11</v>
      </c>
      <c r="S124" s="120">
        <f>SUM($O$117:R124)</f>
        <v>34</v>
      </c>
      <c r="T124" s="944">
        <f t="shared" si="19"/>
        <v>2</v>
      </c>
      <c r="U124" s="120">
        <f>SUM($V$117:Y124)</f>
        <v>32</v>
      </c>
      <c r="V124" s="121"/>
      <c r="W124" s="117"/>
      <c r="X124" s="117"/>
      <c r="Y124" s="107" t="s">
        <v>2</v>
      </c>
      <c r="AA124" s="502"/>
      <c r="AB124" s="502"/>
      <c r="AC124" s="502"/>
      <c r="AD124" s="502"/>
      <c r="AE124" s="502"/>
      <c r="AF124" s="502"/>
      <c r="AN124" s="502"/>
      <c r="AO124" s="502"/>
      <c r="AP124" s="502"/>
      <c r="AQ124" s="502"/>
      <c r="AR124" s="502"/>
    </row>
    <row r="125" spans="1:52" ht="15.75">
      <c r="C125" s="583"/>
      <c r="I125" s="582"/>
      <c r="J125" s="583"/>
      <c r="K125" s="582"/>
      <c r="L125" s="583"/>
      <c r="N125" s="122">
        <v>9</v>
      </c>
      <c r="O125" s="117" t="s">
        <v>2</v>
      </c>
      <c r="P125" s="108"/>
      <c r="Q125" s="117"/>
      <c r="R125" s="114"/>
      <c r="S125" s="120">
        <f>SUM($O$117:R125)</f>
        <v>34</v>
      </c>
      <c r="T125" s="944">
        <f t="shared" si="19"/>
        <v>-5</v>
      </c>
      <c r="U125" s="120">
        <f>SUM($V$117:Y125)</f>
        <v>39</v>
      </c>
      <c r="V125" s="123">
        <v>7</v>
      </c>
      <c r="W125" s="108"/>
      <c r="X125" s="117"/>
      <c r="Y125" s="117"/>
      <c r="AA125" s="502"/>
      <c r="AB125" s="502"/>
      <c r="AC125" s="502"/>
      <c r="AD125" s="502"/>
      <c r="AE125" s="502"/>
      <c r="AF125" s="502"/>
      <c r="AN125" s="502"/>
      <c r="AO125" s="502"/>
      <c r="AP125" s="502"/>
      <c r="AQ125" s="502"/>
      <c r="AR125" s="502"/>
    </row>
    <row r="126" spans="1:52" ht="15.75">
      <c r="C126" s="583"/>
      <c r="I126" s="582"/>
      <c r="J126" s="583"/>
      <c r="K126" s="582"/>
      <c r="L126" s="583"/>
      <c r="N126" s="122">
        <v>10</v>
      </c>
      <c r="O126" s="108"/>
      <c r="P126" s="117">
        <v>9</v>
      </c>
      <c r="Q126" s="117"/>
      <c r="R126" s="119"/>
      <c r="S126" s="120">
        <f>SUM($O$117:R126)</f>
        <v>43</v>
      </c>
      <c r="T126" s="944">
        <f t="shared" si="19"/>
        <v>-3</v>
      </c>
      <c r="U126" s="120">
        <f>SUM($V$117:Y126)</f>
        <v>46</v>
      </c>
      <c r="V126" s="121"/>
      <c r="W126" s="117">
        <v>7</v>
      </c>
      <c r="X126" s="117"/>
      <c r="Y126" s="107"/>
      <c r="AA126" s="502"/>
      <c r="AB126" s="502"/>
      <c r="AC126" s="502"/>
      <c r="AD126" s="502"/>
      <c r="AE126" s="502"/>
      <c r="AF126" s="502"/>
      <c r="AN126" s="502"/>
      <c r="AO126" s="502"/>
      <c r="AP126" s="502"/>
      <c r="AQ126" s="502"/>
      <c r="AR126" s="502"/>
    </row>
    <row r="127" spans="1:52" ht="15.75">
      <c r="C127" s="583"/>
      <c r="I127" s="582"/>
      <c r="J127" s="583"/>
      <c r="K127" s="582"/>
      <c r="L127" s="583"/>
      <c r="N127" s="122">
        <v>11</v>
      </c>
      <c r="O127" s="117"/>
      <c r="P127" s="108"/>
      <c r="Q127" s="117" t="s">
        <v>2</v>
      </c>
      <c r="R127" s="114"/>
      <c r="S127" s="120">
        <f>SUM($O$117:R127)</f>
        <v>43</v>
      </c>
      <c r="T127" s="944">
        <f t="shared" si="19"/>
        <v>-7</v>
      </c>
      <c r="U127" s="120">
        <f>SUM($V$117:Y127)</f>
        <v>50</v>
      </c>
      <c r="V127" s="123"/>
      <c r="W127" s="108"/>
      <c r="X127" s="565">
        <v>4</v>
      </c>
      <c r="Y127" s="117"/>
      <c r="AA127" s="502"/>
      <c r="AB127" s="502"/>
      <c r="AC127" s="502"/>
      <c r="AD127" s="502"/>
      <c r="AE127" s="502"/>
      <c r="AF127" s="502"/>
      <c r="AN127" s="502"/>
      <c r="AO127" s="502"/>
      <c r="AP127" s="502"/>
      <c r="AQ127" s="502"/>
      <c r="AR127" s="502"/>
    </row>
    <row r="128" spans="1:52">
      <c r="C128" s="583"/>
      <c r="I128" s="582"/>
      <c r="J128" s="583"/>
      <c r="K128" s="582"/>
      <c r="L128" s="583"/>
      <c r="P128" s="583"/>
      <c r="S128" s="583"/>
      <c r="V128" s="582"/>
      <c r="W128" s="583"/>
      <c r="X128" s="582"/>
      <c r="Y128" s="583"/>
      <c r="AA128" s="502"/>
      <c r="AB128" s="502"/>
      <c r="AC128" s="502"/>
      <c r="AD128" s="502"/>
      <c r="AE128" s="502"/>
      <c r="AF128" s="502"/>
      <c r="AN128" s="502"/>
      <c r="AO128" s="502"/>
      <c r="AP128" s="502"/>
      <c r="AQ128" s="502"/>
      <c r="AR128" s="502"/>
    </row>
    <row r="129" spans="1:44" ht="15.75">
      <c r="A129" s="126" t="s">
        <v>3</v>
      </c>
      <c r="B129" s="584">
        <f>SUM(B117:B128)</f>
        <v>9</v>
      </c>
      <c r="C129" s="108">
        <f>SUM(C117:C128)</f>
        <v>20</v>
      </c>
      <c r="D129" s="108">
        <f>SUM(D117:D128)</f>
        <v>10</v>
      </c>
      <c r="E129" s="584">
        <f>SUM(E117:E128)</f>
        <v>11</v>
      </c>
      <c r="F129" s="127">
        <f>SUM(B129:E129)</f>
        <v>50</v>
      </c>
      <c r="H129" s="127">
        <f>MAX(H117:H127)</f>
        <v>37</v>
      </c>
      <c r="I129" s="108">
        <f>SUM(I117:I128)</f>
        <v>17</v>
      </c>
      <c r="J129" s="108">
        <f>SUM(J117:J128)</f>
        <v>12</v>
      </c>
      <c r="K129" s="108">
        <f>SUM(K117:K128)</f>
        <v>4</v>
      </c>
      <c r="L129" s="108">
        <f>SUM(L117:L128)</f>
        <v>4</v>
      </c>
      <c r="N129" s="126" t="s">
        <v>3</v>
      </c>
      <c r="O129" s="108">
        <f>SUM(O117:O128)</f>
        <v>2</v>
      </c>
      <c r="P129" s="108">
        <f>SUM(P117:P128)</f>
        <v>19</v>
      </c>
      <c r="Q129" s="108">
        <f>SUM(Q117:Q128)</f>
        <v>9</v>
      </c>
      <c r="R129" s="108">
        <f>SUM(R117:R128)</f>
        <v>13</v>
      </c>
      <c r="S129" s="127">
        <f>MAX(S117:S127)</f>
        <v>43</v>
      </c>
      <c r="U129" s="127">
        <f>SUM(V129:Y129)</f>
        <v>50</v>
      </c>
      <c r="V129" s="584">
        <f>SUM(V117:V128)</f>
        <v>19</v>
      </c>
      <c r="W129" s="108">
        <f>SUM(W117:W128)</f>
        <v>18</v>
      </c>
      <c r="X129" s="584">
        <f>SUM(X117:X128)</f>
        <v>6</v>
      </c>
      <c r="Y129" s="584">
        <f>SUM(Y117:Y128)</f>
        <v>7</v>
      </c>
      <c r="AA129" s="502"/>
      <c r="AB129" s="502"/>
      <c r="AC129" s="502"/>
      <c r="AD129" s="502"/>
      <c r="AE129" s="502"/>
      <c r="AF129" s="502"/>
      <c r="AN129" s="502"/>
      <c r="AO129" s="502"/>
      <c r="AP129" s="502"/>
      <c r="AQ129" s="502"/>
      <c r="AR129" s="502"/>
    </row>
    <row r="130" spans="1:44" ht="15.75">
      <c r="A130" s="128" t="s">
        <v>4</v>
      </c>
      <c r="B130" s="117">
        <f>COUNTA(B117:B128)</f>
        <v>2</v>
      </c>
      <c r="C130" s="117">
        <f>COUNTA(C117:C128)</f>
        <v>2</v>
      </c>
      <c r="D130" s="117">
        <f>COUNTA(D117:D128)</f>
        <v>2</v>
      </c>
      <c r="E130" s="117">
        <f>COUNTA(E117:E128)</f>
        <v>1</v>
      </c>
      <c r="F130" s="127">
        <f>SUM(B130:E130)</f>
        <v>7</v>
      </c>
      <c r="H130" s="127">
        <f>SUM(I130:L130)</f>
        <v>6</v>
      </c>
      <c r="I130" s="117">
        <f>COUNTA(I117:I128)</f>
        <v>2</v>
      </c>
      <c r="J130" s="117">
        <f>COUNTA(J117:J128)</f>
        <v>2</v>
      </c>
      <c r="K130" s="117">
        <f>COUNTA(K117:K128)</f>
        <v>1</v>
      </c>
      <c r="L130" s="117">
        <f>COUNTA(L117:L128)</f>
        <v>1</v>
      </c>
      <c r="N130" s="128" t="s">
        <v>4</v>
      </c>
      <c r="O130" s="117">
        <f>COUNTA(O117:O128)</f>
        <v>3</v>
      </c>
      <c r="P130" s="117">
        <f>COUNTA(P117:P128)</f>
        <v>3</v>
      </c>
      <c r="Q130" s="117">
        <f>COUNTA(Q117:Q128)</f>
        <v>3</v>
      </c>
      <c r="R130" s="117">
        <f>COUNTA(R117:R128)</f>
        <v>2</v>
      </c>
      <c r="S130" s="127">
        <f>SUM(O130:R130)</f>
        <v>11</v>
      </c>
      <c r="U130" s="127">
        <f>SUM(V130:Y130)</f>
        <v>11</v>
      </c>
      <c r="V130" s="117">
        <f>COUNTA(V117:V128)</f>
        <v>3</v>
      </c>
      <c r="W130" s="117">
        <f>COUNTA(W117:W128)</f>
        <v>3</v>
      </c>
      <c r="X130" s="117">
        <f>COUNTA(X117:X128)</f>
        <v>3</v>
      </c>
      <c r="Y130" s="117">
        <f>COUNTA(Y117:Y128)</f>
        <v>2</v>
      </c>
      <c r="AA130" s="502"/>
      <c r="AB130" s="502"/>
      <c r="AC130" s="502"/>
      <c r="AD130" s="502"/>
      <c r="AE130" s="502"/>
      <c r="AF130" s="502"/>
      <c r="AN130" s="502"/>
      <c r="AO130" s="502"/>
      <c r="AP130" s="502"/>
      <c r="AQ130" s="502"/>
      <c r="AR130" s="502"/>
    </row>
    <row r="131" spans="1:44" ht="15.75">
      <c r="A131" s="126" t="s">
        <v>6</v>
      </c>
      <c r="B131" s="584">
        <f>B130-COUNT(B117:B128)</f>
        <v>1</v>
      </c>
      <c r="C131" s="584">
        <f>C130-COUNT(C117:C128)</f>
        <v>0</v>
      </c>
      <c r="D131" s="108">
        <f>D130-COUNT(D117:D128)</f>
        <v>0</v>
      </c>
      <c r="E131" s="108">
        <f>E130-COUNT(E117:E128)</f>
        <v>0</v>
      </c>
      <c r="F131" s="127">
        <f>SUM(B131:E131)</f>
        <v>1</v>
      </c>
      <c r="H131" s="127">
        <f>SUM(I131:L131)</f>
        <v>0</v>
      </c>
      <c r="I131" s="108">
        <f>I130-COUNT(I117:I128)</f>
        <v>0</v>
      </c>
      <c r="J131" s="108">
        <f>J130-COUNT(J117:J128)</f>
        <v>0</v>
      </c>
      <c r="K131" s="108">
        <f>K130-COUNT(K117:K128)</f>
        <v>0</v>
      </c>
      <c r="L131" s="108">
        <f>L130-COUNT(L117:L128)</f>
        <v>0</v>
      </c>
      <c r="N131" s="126" t="s">
        <v>6</v>
      </c>
      <c r="O131" s="108">
        <f>O130-COUNT(O117:O128)</f>
        <v>2</v>
      </c>
      <c r="P131" s="108">
        <f>P130-COUNT(P117:P128)</f>
        <v>0</v>
      </c>
      <c r="Q131" s="108">
        <f>Q130-COUNT(Q117:Q128)</f>
        <v>2</v>
      </c>
      <c r="R131" s="108">
        <f>R130-COUNT(R117:R128)</f>
        <v>0</v>
      </c>
      <c r="S131" s="127">
        <f>SUM(O131:R131)</f>
        <v>4</v>
      </c>
      <c r="U131" s="127">
        <f>SUM(V131:Y131)</f>
        <v>2</v>
      </c>
      <c r="V131" s="108">
        <f>V130-COUNT(V117:V128)</f>
        <v>0</v>
      </c>
      <c r="W131" s="108">
        <f>W130-COUNT(W117:W128)</f>
        <v>0</v>
      </c>
      <c r="X131" s="108">
        <f>X130-COUNT(X117:X128)</f>
        <v>1</v>
      </c>
      <c r="Y131" s="108">
        <f>Y130-COUNT(Y117:Y128)</f>
        <v>1</v>
      </c>
      <c r="AA131" s="502"/>
      <c r="AB131" s="502"/>
      <c r="AC131" s="502"/>
      <c r="AD131" s="502"/>
      <c r="AE131" s="502"/>
      <c r="AF131" s="502"/>
      <c r="AN131" s="502"/>
      <c r="AO131" s="502"/>
      <c r="AP131" s="502"/>
      <c r="AQ131" s="502"/>
      <c r="AR131" s="502"/>
    </row>
    <row r="132" spans="1:44" ht="15.75">
      <c r="A132" s="126" t="s">
        <v>12</v>
      </c>
      <c r="B132" s="131">
        <f>B131/B130</f>
        <v>0.5</v>
      </c>
      <c r="C132" s="131">
        <f>C131/C130</f>
        <v>0</v>
      </c>
      <c r="D132" s="129">
        <f>D131/D130</f>
        <v>0</v>
      </c>
      <c r="E132" s="129">
        <f>E131/E130</f>
        <v>0</v>
      </c>
      <c r="F132" s="130">
        <f>F131/F130</f>
        <v>0.14285714285714285</v>
      </c>
      <c r="H132" s="130">
        <f>H131/H130</f>
        <v>0</v>
      </c>
      <c r="I132" s="933">
        <f>I131/I130</f>
        <v>0</v>
      </c>
      <c r="J132" s="129">
        <f>J131/J130</f>
        <v>0</v>
      </c>
      <c r="K132" s="129">
        <f>K131/K130</f>
        <v>0</v>
      </c>
      <c r="L132" s="129">
        <f>L131/L130</f>
        <v>0</v>
      </c>
      <c r="N132" s="126" t="s">
        <v>12</v>
      </c>
      <c r="O132" s="933">
        <f>O131/O130</f>
        <v>0.66666666666666663</v>
      </c>
      <c r="P132" s="129">
        <f>P131/P130</f>
        <v>0</v>
      </c>
      <c r="Q132" s="129">
        <f>Q131/Q130</f>
        <v>0.66666666666666663</v>
      </c>
      <c r="R132" s="129">
        <f>R131/R130</f>
        <v>0</v>
      </c>
      <c r="S132" s="130">
        <f>S131/S130</f>
        <v>0.36363636363636365</v>
      </c>
      <c r="U132" s="130">
        <f>U131/U130</f>
        <v>0.18181818181818182</v>
      </c>
      <c r="V132" s="129">
        <f>V131/V130</f>
        <v>0</v>
      </c>
      <c r="W132" s="129">
        <f>W131/W130</f>
        <v>0</v>
      </c>
      <c r="X132" s="129">
        <f>X131/X130</f>
        <v>0.33333333333333331</v>
      </c>
      <c r="Y132" s="129">
        <f>Y131/Y130</f>
        <v>0.5</v>
      </c>
      <c r="AA132" s="502"/>
      <c r="AB132" s="502"/>
      <c r="AC132" s="502"/>
      <c r="AD132" s="502"/>
      <c r="AE132" s="502"/>
      <c r="AF132" s="502"/>
      <c r="AN132" s="502"/>
      <c r="AO132" s="502"/>
      <c r="AP132" s="502"/>
      <c r="AQ132" s="502"/>
      <c r="AR132" s="502"/>
    </row>
    <row r="133" spans="1:44" ht="15.75">
      <c r="A133" s="126" t="s">
        <v>5</v>
      </c>
      <c r="B133" s="134">
        <f>B129/B130</f>
        <v>4.5</v>
      </c>
      <c r="C133" s="132">
        <f>C129/C130</f>
        <v>10</v>
      </c>
      <c r="D133" s="132">
        <f>D129/D130</f>
        <v>5</v>
      </c>
      <c r="E133" s="132">
        <f>E129/E130</f>
        <v>11</v>
      </c>
      <c r="F133" s="133">
        <f>F129/F130</f>
        <v>7.1428571428571432</v>
      </c>
      <c r="H133" s="133">
        <f>H129/H130</f>
        <v>6.166666666666667</v>
      </c>
      <c r="I133" s="132">
        <f>I129/I130</f>
        <v>8.5</v>
      </c>
      <c r="J133" s="132">
        <f>J129/J130</f>
        <v>6</v>
      </c>
      <c r="K133" s="132">
        <f>K129/K130</f>
        <v>4</v>
      </c>
      <c r="L133" s="132">
        <f>L129/L130</f>
        <v>4</v>
      </c>
      <c r="N133" s="126" t="s">
        <v>5</v>
      </c>
      <c r="O133" s="132">
        <f>O129/O130</f>
        <v>0.66666666666666663</v>
      </c>
      <c r="P133" s="132">
        <f>P129/P130</f>
        <v>6.333333333333333</v>
      </c>
      <c r="Q133" s="132">
        <f>Q129/Q130</f>
        <v>3</v>
      </c>
      <c r="R133" s="132">
        <f>R129/R130</f>
        <v>6.5</v>
      </c>
      <c r="S133" s="133">
        <f>S129/S130</f>
        <v>3.9090909090909092</v>
      </c>
      <c r="U133" s="133">
        <f>U129/U130</f>
        <v>4.5454545454545459</v>
      </c>
      <c r="V133" s="134">
        <f>V129/V130</f>
        <v>6.333333333333333</v>
      </c>
      <c r="W133" s="132">
        <f>W129/W130</f>
        <v>6</v>
      </c>
      <c r="X133" s="132">
        <f>X129/X130</f>
        <v>2</v>
      </c>
      <c r="Y133" s="132">
        <f>Y129/Y130</f>
        <v>3.5</v>
      </c>
      <c r="AA133" s="502"/>
      <c r="AB133" s="502"/>
      <c r="AC133" s="502"/>
      <c r="AD133" s="502"/>
      <c r="AE133" s="502"/>
      <c r="AF133" s="502"/>
      <c r="AN133" s="502"/>
      <c r="AO133" s="502"/>
      <c r="AP133" s="502"/>
      <c r="AQ133" s="502"/>
      <c r="AR133" s="502"/>
    </row>
    <row r="134" spans="1:44" ht="15.75">
      <c r="A134" s="126" t="s">
        <v>8</v>
      </c>
      <c r="B134" s="135">
        <f>B129/(B130-B131)</f>
        <v>9</v>
      </c>
      <c r="C134" s="132">
        <f>C129/(C130-C131)</f>
        <v>10</v>
      </c>
      <c r="D134" s="134">
        <f>D129/(D130-D131)</f>
        <v>5</v>
      </c>
      <c r="E134" s="135">
        <f>E129/(E130-E131)</f>
        <v>11</v>
      </c>
      <c r="F134" s="136">
        <f>F129/(F130-F131)</f>
        <v>8.3333333333333339</v>
      </c>
      <c r="H134" s="136">
        <f>H129/(H130-H131)</f>
        <v>6.166666666666667</v>
      </c>
      <c r="I134" s="135">
        <f>I129/(I130-I131)</f>
        <v>8.5</v>
      </c>
      <c r="J134" s="135">
        <f>J129/(J130-J131)</f>
        <v>6</v>
      </c>
      <c r="K134" s="135">
        <f>K129/(K130-K131)</f>
        <v>4</v>
      </c>
      <c r="L134" s="135">
        <f>L129/(L130-L131)</f>
        <v>4</v>
      </c>
      <c r="N134" s="126" t="s">
        <v>8</v>
      </c>
      <c r="O134" s="135">
        <f>O129/(O130-O131)</f>
        <v>2</v>
      </c>
      <c r="P134" s="135">
        <f>P129/(P130-P131)</f>
        <v>6.333333333333333</v>
      </c>
      <c r="Q134" s="135">
        <f>Q129/(Q130-Q131)</f>
        <v>9</v>
      </c>
      <c r="R134" s="135">
        <f>R129/(R130-R131)</f>
        <v>6.5</v>
      </c>
      <c r="S134" s="136">
        <f>S129/(S130-S131)</f>
        <v>6.1428571428571432</v>
      </c>
      <c r="U134" s="136">
        <f>U129/(U130-U131)</f>
        <v>5.5555555555555554</v>
      </c>
      <c r="V134" s="134">
        <f>V129/(V130-V131)</f>
        <v>6.333333333333333</v>
      </c>
      <c r="W134" s="135">
        <f>W129/(W130-W131)</f>
        <v>6</v>
      </c>
      <c r="X134" s="132">
        <f>X129/(X130-X131)</f>
        <v>3</v>
      </c>
      <c r="Y134" s="132">
        <f>Y129/(Y130-Y131)</f>
        <v>7</v>
      </c>
      <c r="AA134" s="502"/>
      <c r="AB134" s="502"/>
      <c r="AC134" s="502"/>
      <c r="AD134" s="502"/>
      <c r="AE134" s="502"/>
      <c r="AF134" s="502"/>
      <c r="AN134" s="502"/>
      <c r="AO134" s="502"/>
      <c r="AP134" s="502"/>
      <c r="AQ134" s="502"/>
      <c r="AR134" s="502"/>
    </row>
    <row r="135" spans="1:44" s="111" customFormat="1">
      <c r="A135" s="109"/>
      <c r="B135" s="110"/>
      <c r="C135" s="110"/>
      <c r="D135" s="110"/>
      <c r="E135" s="580"/>
      <c r="F135" s="580"/>
      <c r="N135" s="109"/>
      <c r="O135" s="110"/>
      <c r="P135" s="110"/>
      <c r="Q135" s="110"/>
      <c r="R135" s="580"/>
      <c r="AA135" s="109"/>
      <c r="AB135" s="110"/>
      <c r="AC135" s="110"/>
      <c r="AD135" s="110"/>
      <c r="AE135" s="580"/>
      <c r="AF135" s="580"/>
      <c r="AN135" s="109"/>
      <c r="AO135" s="110"/>
      <c r="AP135" s="110"/>
      <c r="AQ135" s="110"/>
      <c r="AR135" s="580"/>
    </row>
  </sheetData>
  <mergeCells count="40">
    <mergeCell ref="B96:E96"/>
    <mergeCell ref="I96:L96"/>
    <mergeCell ref="O96:R96"/>
    <mergeCell ref="V96:Y96"/>
    <mergeCell ref="B114:E114"/>
    <mergeCell ref="I114:L114"/>
    <mergeCell ref="O114:R114"/>
    <mergeCell ref="V114:Y114"/>
    <mergeCell ref="B2:E2"/>
    <mergeCell ref="I2:L2"/>
    <mergeCell ref="O2:R2"/>
    <mergeCell ref="V2:Y2"/>
    <mergeCell ref="B30:E30"/>
    <mergeCell ref="I30:L30"/>
    <mergeCell ref="O30:R30"/>
    <mergeCell ref="V30:Y30"/>
    <mergeCell ref="B76:E76"/>
    <mergeCell ref="I76:L76"/>
    <mergeCell ref="O76:R76"/>
    <mergeCell ref="V76:Y76"/>
    <mergeCell ref="B54:E54"/>
    <mergeCell ref="I54:L54"/>
    <mergeCell ref="O54:R54"/>
    <mergeCell ref="V54:Y54"/>
    <mergeCell ref="AB2:AE2"/>
    <mergeCell ref="AI2:AL2"/>
    <mergeCell ref="AO2:AR2"/>
    <mergeCell ref="AV2:AY2"/>
    <mergeCell ref="AB30:AE30"/>
    <mergeCell ref="AI30:AL30"/>
    <mergeCell ref="AO30:AR30"/>
    <mergeCell ref="AV30:AY30"/>
    <mergeCell ref="AB54:AE54"/>
    <mergeCell ref="AI54:AL54"/>
    <mergeCell ref="BB76:BE76"/>
    <mergeCell ref="BI76:BL76"/>
    <mergeCell ref="AB76:AE76"/>
    <mergeCell ref="AI76:AL76"/>
    <mergeCell ref="AO76:AR76"/>
    <mergeCell ref="AV76:AY76"/>
  </mergeCells>
  <conditionalFormatting sqref="S99:S105 F57:F65 S57:S67 AF57:AF64 BF79:BF87">
    <cfRule type="cellIs" dxfId="151" priority="135" operator="lessThan">
      <formula>H57</formula>
    </cfRule>
    <cfRule type="cellIs" dxfId="150" priority="136" operator="greaterThanOrEqual">
      <formula>H57</formula>
    </cfRule>
  </conditionalFormatting>
  <conditionalFormatting sqref="U99:U105 H57:H65 U57:U67 AH57:AH64 BH79:BH87">
    <cfRule type="cellIs" dxfId="149" priority="133" operator="lessThan">
      <formula>F57</formula>
    </cfRule>
    <cfRule type="cellIs" dxfId="148" priority="134" operator="greaterThanOrEqual">
      <formula>F57</formula>
    </cfRule>
  </conditionalFormatting>
  <conditionalFormatting sqref="F5:F13">
    <cfRule type="cellIs" dxfId="147" priority="127" operator="lessThan">
      <formula>H5</formula>
    </cfRule>
    <cfRule type="cellIs" dxfId="146" priority="128" operator="greaterThanOrEqual">
      <formula>H5</formula>
    </cfRule>
  </conditionalFormatting>
  <conditionalFormatting sqref="H5:H13">
    <cfRule type="cellIs" dxfId="145" priority="125" operator="lessThan">
      <formula>F5</formula>
    </cfRule>
    <cfRule type="cellIs" dxfId="144" priority="126" operator="greaterThanOrEqual">
      <formula>F5</formula>
    </cfRule>
  </conditionalFormatting>
  <conditionalFormatting sqref="S5:S11">
    <cfRule type="cellIs" dxfId="143" priority="123" operator="lessThan">
      <formula>U5</formula>
    </cfRule>
    <cfRule type="cellIs" dxfId="142" priority="124" operator="greaterThanOrEqual">
      <formula>U5</formula>
    </cfRule>
  </conditionalFormatting>
  <conditionalFormatting sqref="U5:U11">
    <cfRule type="cellIs" dxfId="141" priority="121" operator="lessThan">
      <formula>S5</formula>
    </cfRule>
    <cfRule type="cellIs" dxfId="140" priority="122" operator="greaterThanOrEqual">
      <formula>S5</formula>
    </cfRule>
  </conditionalFormatting>
  <conditionalFormatting sqref="F33:F43">
    <cfRule type="cellIs" dxfId="139" priority="119" operator="lessThan">
      <formula>H33</formula>
    </cfRule>
    <cfRule type="cellIs" dxfId="138" priority="120" operator="greaterThanOrEqual">
      <formula>H33</formula>
    </cfRule>
  </conditionalFormatting>
  <conditionalFormatting sqref="H33:H43">
    <cfRule type="cellIs" dxfId="137" priority="117" operator="lessThan">
      <formula>F33</formula>
    </cfRule>
    <cfRule type="cellIs" dxfId="136" priority="118" operator="greaterThanOrEqual">
      <formula>F33</formula>
    </cfRule>
  </conditionalFormatting>
  <conditionalFormatting sqref="S33:S41">
    <cfRule type="cellIs" dxfId="135" priority="115" operator="lessThan">
      <formula>U33</formula>
    </cfRule>
    <cfRule type="cellIs" dxfId="134" priority="116" operator="greaterThanOrEqual">
      <formula>U33</formula>
    </cfRule>
  </conditionalFormatting>
  <conditionalFormatting sqref="U33:U41">
    <cfRule type="cellIs" dxfId="133" priority="113" operator="lessThan">
      <formula>S33</formula>
    </cfRule>
    <cfRule type="cellIs" dxfId="132" priority="114" operator="greaterThanOrEqual">
      <formula>S33</formula>
    </cfRule>
  </conditionalFormatting>
  <conditionalFormatting sqref="S79:S85">
    <cfRule type="cellIs" dxfId="131" priority="107" operator="lessThan">
      <formula>U79</formula>
    </cfRule>
    <cfRule type="cellIs" dxfId="130" priority="108" operator="greaterThanOrEqual">
      <formula>U79</formula>
    </cfRule>
  </conditionalFormatting>
  <conditionalFormatting sqref="U79:U85">
    <cfRule type="cellIs" dxfId="129" priority="105" operator="lessThan">
      <formula>S79</formula>
    </cfRule>
    <cfRule type="cellIs" dxfId="128" priority="106" operator="greaterThanOrEqual">
      <formula>S79</formula>
    </cfRule>
  </conditionalFormatting>
  <conditionalFormatting sqref="F79:F85">
    <cfRule type="cellIs" dxfId="127" priority="103" operator="lessThan">
      <formula>H79</formula>
    </cfRule>
    <cfRule type="cellIs" dxfId="126" priority="104" operator="greaterThanOrEqual">
      <formula>H79</formula>
    </cfRule>
  </conditionalFormatting>
  <conditionalFormatting sqref="H79:H85">
    <cfRule type="cellIs" dxfId="125" priority="101" operator="lessThan">
      <formula>F79</formula>
    </cfRule>
    <cfRule type="cellIs" dxfId="124" priority="102" operator="greaterThanOrEqual">
      <formula>F79</formula>
    </cfRule>
  </conditionalFormatting>
  <conditionalFormatting sqref="F99:F104">
    <cfRule type="cellIs" dxfId="123" priority="95" operator="lessThan">
      <formula>H99</formula>
    </cfRule>
    <cfRule type="cellIs" dxfId="122" priority="96" operator="greaterThanOrEqual">
      <formula>H99</formula>
    </cfRule>
  </conditionalFormatting>
  <conditionalFormatting sqref="H99:H104">
    <cfRule type="cellIs" dxfId="121" priority="93" operator="lessThan">
      <formula>F99</formula>
    </cfRule>
    <cfRule type="cellIs" dxfId="120" priority="94" operator="greaterThanOrEqual">
      <formula>F99</formula>
    </cfRule>
  </conditionalFormatting>
  <conditionalFormatting sqref="S117:S127">
    <cfRule type="cellIs" dxfId="119" priority="91" operator="lessThan">
      <formula>U117</formula>
    </cfRule>
    <cfRule type="cellIs" dxfId="118" priority="92" operator="greaterThanOrEqual">
      <formula>U117</formula>
    </cfRule>
  </conditionalFormatting>
  <conditionalFormatting sqref="U117:U127">
    <cfRule type="cellIs" dxfId="117" priority="89" operator="lessThan">
      <formula>S117</formula>
    </cfRule>
    <cfRule type="cellIs" dxfId="116" priority="90" operator="greaterThanOrEqual">
      <formula>S117</formula>
    </cfRule>
  </conditionalFormatting>
  <conditionalFormatting sqref="F117:F123">
    <cfRule type="cellIs" dxfId="115" priority="87" operator="lessThan">
      <formula>H117</formula>
    </cfRule>
    <cfRule type="cellIs" dxfId="114" priority="88" operator="greaterThanOrEqual">
      <formula>H117</formula>
    </cfRule>
  </conditionalFormatting>
  <conditionalFormatting sqref="H117:H123">
    <cfRule type="cellIs" dxfId="113" priority="85" operator="lessThan">
      <formula>F117</formula>
    </cfRule>
    <cfRule type="cellIs" dxfId="112" priority="86" operator="greaterThanOrEqual">
      <formula>F117</formula>
    </cfRule>
  </conditionalFormatting>
  <conditionalFormatting sqref="AF5:AF13 AF18:AF21">
    <cfRule type="cellIs" dxfId="111" priority="59" operator="lessThan">
      <formula>AH5</formula>
    </cfRule>
    <cfRule type="cellIs" dxfId="110" priority="60" operator="greaterThanOrEqual">
      <formula>AH5</formula>
    </cfRule>
  </conditionalFormatting>
  <conditionalFormatting sqref="AH5:AH13 AH18:AH21">
    <cfRule type="cellIs" dxfId="109" priority="57" operator="lessThan">
      <formula>AF5</formula>
    </cfRule>
    <cfRule type="cellIs" dxfId="108" priority="58" operator="greaterThanOrEqual">
      <formula>AF5</formula>
    </cfRule>
  </conditionalFormatting>
  <conditionalFormatting sqref="AS5:AS13">
    <cfRule type="cellIs" dxfId="107" priority="55" operator="lessThan">
      <formula>AU5</formula>
    </cfRule>
    <cfRule type="cellIs" dxfId="106" priority="56" operator="greaterThanOrEqual">
      <formula>AU5</formula>
    </cfRule>
  </conditionalFormatting>
  <conditionalFormatting sqref="AU5:AU13">
    <cfRule type="cellIs" dxfId="105" priority="53" operator="lessThan">
      <formula>AS5</formula>
    </cfRule>
    <cfRule type="cellIs" dxfId="104" priority="54" operator="greaterThanOrEqual">
      <formula>AS5</formula>
    </cfRule>
  </conditionalFormatting>
  <conditionalFormatting sqref="AF33:AF45">
    <cfRule type="cellIs" dxfId="103" priority="51" operator="lessThan">
      <formula>AH33</formula>
    </cfRule>
    <cfRule type="cellIs" dxfId="102" priority="52" operator="greaterThanOrEqual">
      <formula>AH33</formula>
    </cfRule>
  </conditionalFormatting>
  <conditionalFormatting sqref="AH33:AH45">
    <cfRule type="cellIs" dxfId="101" priority="49" operator="lessThan">
      <formula>AF33</formula>
    </cfRule>
    <cfRule type="cellIs" dxfId="100" priority="50" operator="greaterThanOrEqual">
      <formula>AF33</formula>
    </cfRule>
  </conditionalFormatting>
  <conditionalFormatting sqref="AS33:AS41">
    <cfRule type="cellIs" dxfId="99" priority="47" operator="lessThan">
      <formula>AU33</formula>
    </cfRule>
    <cfRule type="cellIs" dxfId="98" priority="48" operator="greaterThanOrEqual">
      <formula>AU33</formula>
    </cfRule>
  </conditionalFormatting>
  <conditionalFormatting sqref="AU33:AU41">
    <cfRule type="cellIs" dxfId="97" priority="45" operator="lessThan">
      <formula>AS33</formula>
    </cfRule>
    <cfRule type="cellIs" dxfId="96" priority="46" operator="greaterThanOrEqual">
      <formula>AS33</formula>
    </cfRule>
  </conditionalFormatting>
  <conditionalFormatting sqref="AS79:AS87">
    <cfRule type="cellIs" dxfId="95" priority="43" operator="lessThan">
      <formula>AU79</formula>
    </cfRule>
    <cfRule type="cellIs" dxfId="94" priority="44" operator="greaterThanOrEqual">
      <formula>AU79</formula>
    </cfRule>
  </conditionalFormatting>
  <conditionalFormatting sqref="AU79:AU87">
    <cfRule type="cellIs" dxfId="93" priority="41" operator="lessThan">
      <formula>AS79</formula>
    </cfRule>
    <cfRule type="cellIs" dxfId="92" priority="42" operator="greaterThanOrEqual">
      <formula>AS79</formula>
    </cfRule>
  </conditionalFormatting>
  <conditionalFormatting sqref="AF79:AF86">
    <cfRule type="cellIs" dxfId="91" priority="39" operator="lessThan">
      <formula>AH79</formula>
    </cfRule>
    <cfRule type="cellIs" dxfId="90" priority="40" operator="greaterThanOrEqual">
      <formula>AH79</formula>
    </cfRule>
  </conditionalFormatting>
  <conditionalFormatting sqref="AH79:AH86">
    <cfRule type="cellIs" dxfId="89" priority="37" operator="lessThan">
      <formula>AF79</formula>
    </cfRule>
    <cfRule type="cellIs" dxfId="88" priority="38" operator="greaterThanOrEqual">
      <formula>AF79</formula>
    </cfRule>
  </conditionalFormatting>
  <conditionalFormatting sqref="AU14">
    <cfRule type="cellIs" dxfId="87" priority="17" operator="lessThan">
      <formula>AS14</formula>
    </cfRule>
    <cfRule type="cellIs" dxfId="86" priority="18" operator="greaterThanOrEqual">
      <formula>AS14</formula>
    </cfRule>
  </conditionalFormatting>
  <conditionalFormatting sqref="AF14:AF17">
    <cfRule type="cellIs" dxfId="85" priority="23" operator="lessThan">
      <formula>AH14</formula>
    </cfRule>
    <cfRule type="cellIs" dxfId="84" priority="24" operator="greaterThanOrEqual">
      <formula>AH14</formula>
    </cfRule>
  </conditionalFormatting>
  <conditionalFormatting sqref="AH14:AH17">
    <cfRule type="cellIs" dxfId="83" priority="21" operator="lessThan">
      <formula>AF14</formula>
    </cfRule>
    <cfRule type="cellIs" dxfId="82" priority="22" operator="greaterThanOrEqual">
      <formula>AF14</formula>
    </cfRule>
  </conditionalFormatting>
  <conditionalFormatting sqref="AS14">
    <cfRule type="cellIs" dxfId="81" priority="19" operator="lessThan">
      <formula>AU14</formula>
    </cfRule>
    <cfRule type="cellIs" dxfId="80" priority="20" operator="greaterThanOrEqual">
      <formula>AU14</formula>
    </cfRule>
  </conditionalFormatting>
  <pageMargins left="0.70866141732283472" right="0.70866141732283472" top="0.78740157480314965" bottom="0.78740157480314965" header="0.31496062992125984" footer="0.31496062992125984"/>
  <pageSetup paperSize="9" scale="2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19</vt:i4>
      </vt:variant>
    </vt:vector>
  </HeadingPairs>
  <TitlesOfParts>
    <vt:vector size="19" baseType="lpstr">
      <vt:lpstr>Gruppe A</vt:lpstr>
      <vt:lpstr>Gruppe B</vt:lpstr>
      <vt:lpstr>Spiel 1</vt:lpstr>
      <vt:lpstr>Spiel 2</vt:lpstr>
      <vt:lpstr>Spiel 3</vt:lpstr>
      <vt:lpstr>Spiel 4</vt:lpstr>
      <vt:lpstr>Spiel 5</vt:lpstr>
      <vt:lpstr>Spiel 6</vt:lpstr>
      <vt:lpstr>Spiel 7 - Viertelfinal</vt:lpstr>
      <vt:lpstr>Spiel 8 - Halbfinal</vt:lpstr>
      <vt:lpstr>Spiel 9 - Final</vt:lpstr>
      <vt:lpstr>Auswertung</vt:lpstr>
      <vt:lpstr>Teamprofile (8)</vt:lpstr>
      <vt:lpstr>Einzelspielerprofile (5)</vt:lpstr>
      <vt:lpstr>F pro Runde</vt:lpstr>
      <vt:lpstr>F pro Typ</vt:lpstr>
      <vt:lpstr>Teamvergleich</vt:lpstr>
      <vt:lpstr>Einzelvergleich</vt:lpstr>
      <vt:lpstr>Performance (5)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Leuenberger</dc:creator>
  <cp:lastModifiedBy>Georg Leuenberger</cp:lastModifiedBy>
  <cp:lastPrinted>2015-06-02T22:34:49Z</cp:lastPrinted>
  <dcterms:created xsi:type="dcterms:W3CDTF">2013-08-18T20:53:06Z</dcterms:created>
  <dcterms:modified xsi:type="dcterms:W3CDTF">2015-06-02T22:50:53Z</dcterms:modified>
</cp:coreProperties>
</file>